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firstSheet="6" activeTab="9"/>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Sheet1" sheetId="20" r:id="rId10"/>
  </sheets>
  <definedNames>
    <definedName name="_xlnm._FilterDatabase" localSheetId="8" hidden="1">Klasifikacije!$L$2:$M$4732</definedName>
    <definedName name="_xlnm._FilterDatabase" localSheetId="7" hidden="1">'ПО КОРИСНИЦИМА'!$H$1:$H$541</definedName>
    <definedName name="ljkl">'Расх по функц. '!$F$86</definedName>
    <definedName name="Ukupno_funkcionalna">'Расх по функц. '!$F$86</definedName>
    <definedName name="Ukupno_izdaci">'По основ. нам.'!$F$88</definedName>
  </definedNames>
  <calcPr calcId="124519"/>
</workbook>
</file>

<file path=xl/calcChain.xml><?xml version="1.0" encoding="utf-8"?>
<calcChain xmlns="http://schemas.openxmlformats.org/spreadsheetml/2006/main">
  <c r="E84" i="5"/>
  <c r="E85"/>
  <c r="E87"/>
  <c r="E86" s="1"/>
  <c r="C87"/>
  <c r="C86" s="1"/>
  <c r="C83"/>
  <c r="F86" l="1"/>
  <c r="F87"/>
  <c r="F61"/>
  <c r="J303" i="8"/>
  <c r="I303"/>
  <c r="J81"/>
  <c r="D82" i="3"/>
  <c r="G82"/>
  <c r="F97"/>
  <c r="F84"/>
  <c r="F83"/>
  <c r="F81"/>
  <c r="F77"/>
  <c r="F69"/>
  <c r="F70"/>
  <c r="F72"/>
  <c r="F74"/>
  <c r="F75"/>
  <c r="F68"/>
  <c r="F58"/>
  <c r="F59"/>
  <c r="F60"/>
  <c r="F63"/>
  <c r="F55"/>
  <c r="F51"/>
  <c r="F52"/>
  <c r="F50"/>
  <c r="F44"/>
  <c r="F38"/>
  <c r="F40"/>
  <c r="F37"/>
  <c r="F24"/>
  <c r="F26"/>
  <c r="F27"/>
  <c r="F29"/>
  <c r="F23"/>
  <c r="F9"/>
  <c r="F10"/>
  <c r="F11"/>
  <c r="F13"/>
  <c r="F15"/>
  <c r="F19"/>
  <c r="F20"/>
  <c r="F21"/>
  <c r="F7"/>
  <c r="F3"/>
  <c r="H97"/>
  <c r="H95"/>
  <c r="H94"/>
  <c r="H91"/>
  <c r="H89"/>
  <c r="H84"/>
  <c r="H85"/>
  <c r="H87"/>
  <c r="H82" s="1"/>
  <c r="H83"/>
  <c r="H81"/>
  <c r="H80"/>
  <c r="H78"/>
  <c r="H77"/>
  <c r="H69"/>
  <c r="H70"/>
  <c r="H71"/>
  <c r="H72"/>
  <c r="H73"/>
  <c r="H74"/>
  <c r="H75"/>
  <c r="H68"/>
  <c r="H57"/>
  <c r="H58"/>
  <c r="H59"/>
  <c r="H60"/>
  <c r="H61"/>
  <c r="H62"/>
  <c r="H63"/>
  <c r="H64"/>
  <c r="H65"/>
  <c r="H66"/>
  <c r="H56"/>
  <c r="H55"/>
  <c r="H52"/>
  <c r="H51"/>
  <c r="H50"/>
  <c r="H48"/>
  <c r="H47"/>
  <c r="H44"/>
  <c r="H36"/>
  <c r="H37"/>
  <c r="H38"/>
  <c r="H39"/>
  <c r="H40"/>
  <c r="H41"/>
  <c r="H42"/>
  <c r="H35"/>
  <c r="H34"/>
  <c r="H25"/>
  <c r="H26"/>
  <c r="H27"/>
  <c r="H28"/>
  <c r="H29"/>
  <c r="H30"/>
  <c r="H31"/>
  <c r="H32"/>
  <c r="H24"/>
  <c r="H23"/>
  <c r="H10"/>
  <c r="H11"/>
  <c r="H12"/>
  <c r="H13"/>
  <c r="H14"/>
  <c r="H15"/>
  <c r="H16"/>
  <c r="H17"/>
  <c r="H18"/>
  <c r="H19"/>
  <c r="H20"/>
  <c r="H21"/>
  <c r="H9"/>
  <c r="H7"/>
  <c r="H3"/>
  <c r="G6"/>
  <c r="F6" s="1"/>
  <c r="G22"/>
  <c r="F22" s="1"/>
  <c r="G33"/>
  <c r="F33" s="1"/>
  <c r="G43"/>
  <c r="F43" s="1"/>
  <c r="G46"/>
  <c r="G49"/>
  <c r="G54"/>
  <c r="F54" s="1"/>
  <c r="G67"/>
  <c r="F67" s="1"/>
  <c r="G76"/>
  <c r="F76" s="1"/>
  <c r="G79"/>
  <c r="F79" s="1"/>
  <c r="G93"/>
  <c r="J531" i="8"/>
  <c r="J532"/>
  <c r="J533"/>
  <c r="J534"/>
  <c r="J535"/>
  <c r="J536"/>
  <c r="J537"/>
  <c r="J538"/>
  <c r="J539"/>
  <c r="J540"/>
  <c r="J530"/>
  <c r="J524"/>
  <c r="I11" i="16"/>
  <c r="F60" i="5"/>
  <c r="I312" i="8"/>
  <c r="J513"/>
  <c r="J514"/>
  <c r="J515"/>
  <c r="J512"/>
  <c r="J511"/>
  <c r="K502"/>
  <c r="K501"/>
  <c r="K500"/>
  <c r="J502"/>
  <c r="J501"/>
  <c r="J500"/>
  <c r="K479"/>
  <c r="K480"/>
  <c r="K481"/>
  <c r="K482"/>
  <c r="K483"/>
  <c r="K484"/>
  <c r="K485"/>
  <c r="K486"/>
  <c r="K487"/>
  <c r="K488"/>
  <c r="K489"/>
  <c r="K490"/>
  <c r="K491"/>
  <c r="K492"/>
  <c r="K493"/>
  <c r="K478"/>
  <c r="K477"/>
  <c r="J479"/>
  <c r="J480"/>
  <c r="J481"/>
  <c r="J482"/>
  <c r="J483"/>
  <c r="J484"/>
  <c r="J485"/>
  <c r="J486"/>
  <c r="J487"/>
  <c r="J488"/>
  <c r="J489"/>
  <c r="J490"/>
  <c r="J491"/>
  <c r="J492"/>
  <c r="J493"/>
  <c r="J478"/>
  <c r="J477"/>
  <c r="K451"/>
  <c r="K452"/>
  <c r="K453"/>
  <c r="K454"/>
  <c r="K455"/>
  <c r="K456"/>
  <c r="K457"/>
  <c r="K458"/>
  <c r="K459"/>
  <c r="K460"/>
  <c r="K461"/>
  <c r="K462"/>
  <c r="K463"/>
  <c r="K464"/>
  <c r="K465"/>
  <c r="K466"/>
  <c r="K450"/>
  <c r="K449"/>
  <c r="J451"/>
  <c r="J452"/>
  <c r="J453"/>
  <c r="J454"/>
  <c r="J455"/>
  <c r="J456"/>
  <c r="J457"/>
  <c r="J458"/>
  <c r="J459"/>
  <c r="J460"/>
  <c r="J461"/>
  <c r="J462"/>
  <c r="J463"/>
  <c r="J464"/>
  <c r="J465"/>
  <c r="J466"/>
  <c r="J467"/>
  <c r="J468"/>
  <c r="J450"/>
  <c r="J449"/>
  <c r="K429"/>
  <c r="K430"/>
  <c r="K431"/>
  <c r="K432"/>
  <c r="K433"/>
  <c r="K434"/>
  <c r="K435"/>
  <c r="K436"/>
  <c r="K437"/>
  <c r="K438"/>
  <c r="K439"/>
  <c r="K440"/>
  <c r="K428"/>
  <c r="K427"/>
  <c r="J429"/>
  <c r="J430"/>
  <c r="J431"/>
  <c r="J432"/>
  <c r="J433"/>
  <c r="J434"/>
  <c r="J435"/>
  <c r="J436"/>
  <c r="J437"/>
  <c r="J438"/>
  <c r="J439"/>
  <c r="J440"/>
  <c r="J428"/>
  <c r="J427"/>
  <c r="J418"/>
  <c r="J417"/>
  <c r="J410"/>
  <c r="J409"/>
  <c r="J405"/>
  <c r="J404"/>
  <c r="J397"/>
  <c r="K396"/>
  <c r="J387"/>
  <c r="J382"/>
  <c r="J374"/>
  <c r="J375"/>
  <c r="J373"/>
  <c r="J372"/>
  <c r="J367"/>
  <c r="J366"/>
  <c r="J362"/>
  <c r="J361"/>
  <c r="J357"/>
  <c r="J350"/>
  <c r="J345"/>
  <c r="J338"/>
  <c r="J333"/>
  <c r="J332"/>
  <c r="J331"/>
  <c r="J320"/>
  <c r="J321"/>
  <c r="J322"/>
  <c r="J323"/>
  <c r="J324"/>
  <c r="J325"/>
  <c r="J326"/>
  <c r="J319"/>
  <c r="J318"/>
  <c r="J309"/>
  <c r="J310"/>
  <c r="J311"/>
  <c r="J308"/>
  <c r="J307"/>
  <c r="J302"/>
  <c r="J301"/>
  <c r="J297"/>
  <c r="J296"/>
  <c r="J295"/>
  <c r="J290"/>
  <c r="J289"/>
  <c r="J288"/>
  <c r="J283"/>
  <c r="J282"/>
  <c r="J275"/>
  <c r="J274"/>
  <c r="J273"/>
  <c r="J268"/>
  <c r="J263"/>
  <c r="J264" s="1"/>
  <c r="J258"/>
  <c r="J257"/>
  <c r="J252"/>
  <c r="J244"/>
  <c r="J239"/>
  <c r="J234"/>
  <c r="J233"/>
  <c r="J204"/>
  <c r="J203"/>
  <c r="J209"/>
  <c r="J210"/>
  <c r="J215"/>
  <c r="J216"/>
  <c r="J222"/>
  <c r="J221"/>
  <c r="J227"/>
  <c r="J228"/>
  <c r="J197"/>
  <c r="J198"/>
  <c r="J196"/>
  <c r="J195"/>
  <c r="J188"/>
  <c r="J189"/>
  <c r="J190"/>
  <c r="J187"/>
  <c r="J186"/>
  <c r="K175"/>
  <c r="K176"/>
  <c r="K177"/>
  <c r="K178"/>
  <c r="K179"/>
  <c r="K174"/>
  <c r="J175"/>
  <c r="J176"/>
  <c r="J177"/>
  <c r="J178"/>
  <c r="J179"/>
  <c r="J174"/>
  <c r="J173"/>
  <c r="J166"/>
  <c r="J165"/>
  <c r="J158"/>
  <c r="J148"/>
  <c r="K125"/>
  <c r="K126"/>
  <c r="K127"/>
  <c r="K128"/>
  <c r="K129"/>
  <c r="K130"/>
  <c r="K131"/>
  <c r="K132"/>
  <c r="K133"/>
  <c r="K134"/>
  <c r="K135"/>
  <c r="K136"/>
  <c r="K137"/>
  <c r="K138"/>
  <c r="K139"/>
  <c r="K140"/>
  <c r="K141"/>
  <c r="K142"/>
  <c r="K143"/>
  <c r="K124"/>
  <c r="K123"/>
  <c r="J125"/>
  <c r="J126"/>
  <c r="J127"/>
  <c r="J128"/>
  <c r="J129"/>
  <c r="J130"/>
  <c r="J131"/>
  <c r="J132"/>
  <c r="J133"/>
  <c r="J134"/>
  <c r="J135"/>
  <c r="J136"/>
  <c r="J137"/>
  <c r="J138"/>
  <c r="J139"/>
  <c r="J140"/>
  <c r="J141"/>
  <c r="J142"/>
  <c r="J143"/>
  <c r="J124"/>
  <c r="J123"/>
  <c r="J116"/>
  <c r="J115"/>
  <c r="J108"/>
  <c r="J107"/>
  <c r="J102"/>
  <c r="J103" s="1"/>
  <c r="J97"/>
  <c r="J90"/>
  <c r="J91"/>
  <c r="J92"/>
  <c r="J89"/>
  <c r="J88"/>
  <c r="J82"/>
  <c r="J83"/>
  <c r="J80"/>
  <c r="J79"/>
  <c r="J74"/>
  <c r="J68"/>
  <c r="J69"/>
  <c r="J67"/>
  <c r="J66"/>
  <c r="J54"/>
  <c r="J55"/>
  <c r="J56"/>
  <c r="J57"/>
  <c r="J58"/>
  <c r="J53"/>
  <c r="J52"/>
  <c r="J39"/>
  <c r="J40"/>
  <c r="J41"/>
  <c r="J42"/>
  <c r="J43"/>
  <c r="J44"/>
  <c r="J38"/>
  <c r="J37"/>
  <c r="J25"/>
  <c r="J26"/>
  <c r="J27"/>
  <c r="J28"/>
  <c r="J24"/>
  <c r="J23"/>
  <c r="J8"/>
  <c r="J9"/>
  <c r="J10"/>
  <c r="J11"/>
  <c r="J12"/>
  <c r="J13"/>
  <c r="J7"/>
  <c r="E6" i="4"/>
  <c r="G6"/>
  <c r="D6"/>
  <c r="E95"/>
  <c r="H89"/>
  <c r="H88"/>
  <c r="G86"/>
  <c r="F86"/>
  <c r="E86"/>
  <c r="H81"/>
  <c r="F79"/>
  <c r="G79"/>
  <c r="E79"/>
  <c r="H77"/>
  <c r="F75"/>
  <c r="G75"/>
  <c r="E75"/>
  <c r="H82"/>
  <c r="D79"/>
  <c r="H78"/>
  <c r="D75"/>
  <c r="H66"/>
  <c r="E64"/>
  <c r="H50"/>
  <c r="F48"/>
  <c r="G48"/>
  <c r="E48"/>
  <c r="E25"/>
  <c r="F25"/>
  <c r="H25" s="1"/>
  <c r="D25"/>
  <c r="H27"/>
  <c r="G25"/>
  <c r="H13"/>
  <c r="G11"/>
  <c r="F11"/>
  <c r="E11"/>
  <c r="E7"/>
  <c r="H9"/>
  <c r="H7" s="1"/>
  <c r="H10"/>
  <c r="G7"/>
  <c r="F7"/>
  <c r="J312" i="8" l="1"/>
  <c r="F82" i="3"/>
  <c r="G53"/>
  <c r="G45"/>
  <c r="G5"/>
  <c r="F5" s="1"/>
  <c r="H86" i="4"/>
  <c r="H79"/>
  <c r="H75"/>
  <c r="H11"/>
  <c r="J528" i="8"/>
  <c r="J529"/>
  <c r="J527"/>
  <c r="H180"/>
  <c r="I180"/>
  <c r="D114" i="7"/>
  <c r="F114"/>
  <c r="D331"/>
  <c r="F331"/>
  <c r="D300"/>
  <c r="F300"/>
  <c r="M16" i="3"/>
  <c r="I411" i="8"/>
  <c r="I291"/>
  <c r="K291" s="1"/>
  <c r="H291"/>
  <c r="I84"/>
  <c r="H84"/>
  <c r="I368"/>
  <c r="H368"/>
  <c r="I149"/>
  <c r="H149"/>
  <c r="J149"/>
  <c r="I269"/>
  <c r="H269"/>
  <c r="J269"/>
  <c r="I363"/>
  <c r="H363"/>
  <c r="H284"/>
  <c r="I284"/>
  <c r="K284" s="1"/>
  <c r="H92" i="4"/>
  <c r="E55"/>
  <c r="H57"/>
  <c r="H20"/>
  <c r="K180" i="8" l="1"/>
  <c r="K181" s="1"/>
  <c r="G4" i="3"/>
  <c r="E331" i="7"/>
  <c r="G331"/>
  <c r="E300"/>
  <c r="G300"/>
  <c r="G114"/>
  <c r="E114"/>
  <c r="J84" i="8"/>
  <c r="J368"/>
  <c r="J363"/>
  <c r="E68" i="4"/>
  <c r="H97"/>
  <c r="H98"/>
  <c r="H101"/>
  <c r="D83"/>
  <c r="D72"/>
  <c r="D68"/>
  <c r="D64"/>
  <c r="D59"/>
  <c r="E59"/>
  <c r="E90"/>
  <c r="H93"/>
  <c r="G90" l="1"/>
  <c r="G83" s="1"/>
  <c r="G72" s="1"/>
  <c r="G68" s="1"/>
  <c r="G64" s="1"/>
  <c r="F90"/>
  <c r="F83" s="1"/>
  <c r="D90"/>
  <c r="H85"/>
  <c r="E83"/>
  <c r="E72"/>
  <c r="H74"/>
  <c r="H71"/>
  <c r="H70"/>
  <c r="H67"/>
  <c r="H63"/>
  <c r="H90" l="1"/>
  <c r="H68"/>
  <c r="H83"/>
  <c r="H72"/>
  <c r="H62"/>
  <c r="H61"/>
  <c r="H58"/>
  <c r="H54"/>
  <c r="H51"/>
  <c r="H47"/>
  <c r="H46"/>
  <c r="H45"/>
  <c r="D43"/>
  <c r="H42"/>
  <c r="H39"/>
  <c r="H36"/>
  <c r="H33"/>
  <c r="H30"/>
  <c r="D28"/>
  <c r="H24"/>
  <c r="D22"/>
  <c r="H21"/>
  <c r="H19"/>
  <c r="H16"/>
  <c r="D17"/>
  <c r="E99" l="1"/>
  <c r="H99" s="1"/>
  <c r="H95"/>
  <c r="E94" l="1"/>
  <c r="I70" i="8"/>
  <c r="K70" s="1"/>
  <c r="H70"/>
  <c r="H93"/>
  <c r="H64" i="4" l="1"/>
  <c r="H94"/>
  <c r="I229" i="8"/>
  <c r="H229"/>
  <c r="D130" i="7"/>
  <c r="F130"/>
  <c r="D131"/>
  <c r="F131"/>
  <c r="C130"/>
  <c r="C131"/>
  <c r="I223" i="8"/>
  <c r="H223"/>
  <c r="I217"/>
  <c r="H217"/>
  <c r="I211"/>
  <c r="H211"/>
  <c r="I205"/>
  <c r="H205"/>
  <c r="I240"/>
  <c r="H240"/>
  <c r="J240"/>
  <c r="I235"/>
  <c r="H235"/>
  <c r="I339"/>
  <c r="H339"/>
  <c r="J339"/>
  <c r="K303"/>
  <c r="H303"/>
  <c r="K229" l="1"/>
  <c r="G131" i="7"/>
  <c r="E131"/>
  <c r="G130"/>
  <c r="E130"/>
  <c r="J229" i="8"/>
  <c r="J235"/>
  <c r="J205"/>
  <c r="J211"/>
  <c r="J223"/>
  <c r="J217"/>
  <c r="M18" i="3" l="1"/>
  <c r="D297" i="7" l="1"/>
  <c r="F297"/>
  <c r="D127"/>
  <c r="F127"/>
  <c r="D128"/>
  <c r="D129"/>
  <c r="F129"/>
  <c r="F128"/>
  <c r="G127" l="1"/>
  <c r="E127"/>
  <c r="G128"/>
  <c r="E128"/>
  <c r="E297"/>
  <c r="G297"/>
  <c r="E129"/>
  <c r="G129"/>
  <c r="I109" i="8"/>
  <c r="H109"/>
  <c r="I327"/>
  <c r="H327"/>
  <c r="I93"/>
  <c r="K93" s="1"/>
  <c r="I75"/>
  <c r="H75"/>
  <c r="J75"/>
  <c r="F339" i="7"/>
  <c r="D339"/>
  <c r="F338"/>
  <c r="D338"/>
  <c r="F337"/>
  <c r="D337"/>
  <c r="K327" i="8" l="1"/>
  <c r="K109"/>
  <c r="F336" i="7"/>
  <c r="G337"/>
  <c r="E337"/>
  <c r="G338"/>
  <c r="G339"/>
  <c r="D336"/>
  <c r="H259" i="8"/>
  <c r="I516"/>
  <c r="I517" s="1"/>
  <c r="H516"/>
  <c r="H517" s="1"/>
  <c r="E336" i="7" l="1"/>
  <c r="G336"/>
  <c r="J516" i="8"/>
  <c r="J517" s="1"/>
  <c r="I298" l="1"/>
  <c r="K298" s="1"/>
  <c r="H298"/>
  <c r="I117" l="1"/>
  <c r="I118" s="1"/>
  <c r="H117"/>
  <c r="H118" s="1"/>
  <c r="J117" l="1"/>
  <c r="J118" s="1"/>
  <c r="I259"/>
  <c r="I45" l="1"/>
  <c r="H45"/>
  <c r="I276"/>
  <c r="H276"/>
  <c r="C44" i="5"/>
  <c r="E44"/>
  <c r="K276" i="8" l="1"/>
  <c r="D44" i="5"/>
  <c r="F44"/>
  <c r="F132" i="7"/>
  <c r="F133"/>
  <c r="F134"/>
  <c r="F135"/>
  <c r="F136"/>
  <c r="F137"/>
  <c r="F138"/>
  <c r="F139"/>
  <c r="F140"/>
  <c r="F141"/>
  <c r="F142"/>
  <c r="F143"/>
  <c r="F144"/>
  <c r="F145"/>
  <c r="F146"/>
  <c r="F147"/>
  <c r="D132"/>
  <c r="D133"/>
  <c r="D134"/>
  <c r="D135"/>
  <c r="D136"/>
  <c r="D137"/>
  <c r="D138"/>
  <c r="D139"/>
  <c r="D140"/>
  <c r="D141"/>
  <c r="D142"/>
  <c r="D143"/>
  <c r="D144"/>
  <c r="D145"/>
  <c r="D146"/>
  <c r="D147"/>
  <c r="I245" i="8"/>
  <c r="H245"/>
  <c r="J245"/>
  <c r="E146" i="7" l="1"/>
  <c r="E142"/>
  <c r="E138"/>
  <c r="E147"/>
  <c r="E143"/>
  <c r="E139"/>
  <c r="E144"/>
  <c r="E140"/>
  <c r="E136"/>
  <c r="E145"/>
  <c r="E141"/>
  <c r="E137"/>
  <c r="G134"/>
  <c r="E134"/>
  <c r="G135"/>
  <c r="E135"/>
  <c r="G132"/>
  <c r="E132"/>
  <c r="E133"/>
  <c r="G133"/>
  <c r="G147"/>
  <c r="G145"/>
  <c r="G143"/>
  <c r="G141"/>
  <c r="G139"/>
  <c r="G137"/>
  <c r="G146"/>
  <c r="G144"/>
  <c r="G142"/>
  <c r="G140"/>
  <c r="G138"/>
  <c r="G136"/>
  <c r="H358" i="8"/>
  <c r="I59"/>
  <c r="H59"/>
  <c r="I14"/>
  <c r="I15" s="1"/>
  <c r="H441"/>
  <c r="F333" i="7"/>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D43"/>
  <c r="D44"/>
  <c r="D38"/>
  <c r="D39"/>
  <c r="D40"/>
  <c r="D41"/>
  <c r="D42"/>
  <c r="F8"/>
  <c r="F9"/>
  <c r="D8"/>
  <c r="D9"/>
  <c r="C34" i="6"/>
  <c r="E34"/>
  <c r="C44"/>
  <c r="C43" s="1"/>
  <c r="E44"/>
  <c r="C51"/>
  <c r="C50" s="1"/>
  <c r="E51"/>
  <c r="E9" i="7" l="1"/>
  <c r="E8"/>
  <c r="E44"/>
  <c r="E272"/>
  <c r="E224"/>
  <c r="E273"/>
  <c r="E48"/>
  <c r="D44" i="6"/>
  <c r="E49" i="7"/>
  <c r="E246"/>
  <c r="E335"/>
  <c r="E39"/>
  <c r="G39"/>
  <c r="E40"/>
  <c r="G40"/>
  <c r="G110"/>
  <c r="E110"/>
  <c r="G223"/>
  <c r="E223"/>
  <c r="G298"/>
  <c r="E298"/>
  <c r="D51" i="6"/>
  <c r="F51"/>
  <c r="D34"/>
  <c r="F34"/>
  <c r="F31" s="1"/>
  <c r="E41" i="7"/>
  <c r="G41"/>
  <c r="E111"/>
  <c r="G111"/>
  <c r="F332"/>
  <c r="G333"/>
  <c r="E333"/>
  <c r="G329"/>
  <c r="G42"/>
  <c r="E42"/>
  <c r="G38"/>
  <c r="E38"/>
  <c r="E112"/>
  <c r="G112"/>
  <c r="E108"/>
  <c r="G108"/>
  <c r="E221"/>
  <c r="G221"/>
  <c r="E245"/>
  <c r="G245"/>
  <c r="E270"/>
  <c r="G270"/>
  <c r="E334"/>
  <c r="G334"/>
  <c r="E43"/>
  <c r="G43"/>
  <c r="E113"/>
  <c r="G113"/>
  <c r="E109"/>
  <c r="G109"/>
  <c r="G222"/>
  <c r="E222"/>
  <c r="E271"/>
  <c r="G271"/>
  <c r="G330"/>
  <c r="G272"/>
  <c r="G273"/>
  <c r="G224"/>
  <c r="G246"/>
  <c r="G49"/>
  <c r="G9"/>
  <c r="G48"/>
  <c r="G8"/>
  <c r="G335"/>
  <c r="D332"/>
  <c r="G44"/>
  <c r="F44" i="6"/>
  <c r="E43"/>
  <c r="E50"/>
  <c r="F43" l="1"/>
  <c r="D43"/>
  <c r="D50"/>
  <c r="F50"/>
  <c r="G332" i="7"/>
  <c r="E332"/>
  <c r="I253" i="8"/>
  <c r="H253"/>
  <c r="I264"/>
  <c r="H264"/>
  <c r="I334"/>
  <c r="H334"/>
  <c r="H340" s="1"/>
  <c r="I351"/>
  <c r="H351"/>
  <c r="J351"/>
  <c r="I346"/>
  <c r="H346"/>
  <c r="I398"/>
  <c r="I399" s="1"/>
  <c r="H398"/>
  <c r="H399" s="1"/>
  <c r="J396"/>
  <c r="J291"/>
  <c r="J284"/>
  <c r="I340" l="1"/>
  <c r="K340" s="1"/>
  <c r="K334"/>
  <c r="H277"/>
  <c r="I277"/>
  <c r="K277" s="1"/>
  <c r="J253"/>
  <c r="I352"/>
  <c r="K352" s="1"/>
  <c r="H352"/>
  <c r="J398"/>
  <c r="J399" s="1"/>
  <c r="I167" l="1"/>
  <c r="H167"/>
  <c r="H168" s="1"/>
  <c r="J167"/>
  <c r="J168" s="1"/>
  <c r="I159"/>
  <c r="H159"/>
  <c r="J159"/>
  <c r="I154"/>
  <c r="H154"/>
  <c r="J153"/>
  <c r="J154" s="1"/>
  <c r="I29"/>
  <c r="H29"/>
  <c r="I168" l="1"/>
  <c r="K167"/>
  <c r="K168" s="1"/>
  <c r="I181"/>
  <c r="H181"/>
  <c r="H191"/>
  <c r="I503"/>
  <c r="H503"/>
  <c r="I494"/>
  <c r="H494"/>
  <c r="H495" s="1"/>
  <c r="H60"/>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H411" i="8"/>
  <c r="C77" i="6"/>
  <c r="E77"/>
  <c r="I191" i="8"/>
  <c r="K191" s="1"/>
  <c r="I98"/>
  <c r="H98"/>
  <c r="J98"/>
  <c r="I406"/>
  <c r="H406"/>
  <c r="K503" l="1"/>
  <c r="I412"/>
  <c r="K406"/>
  <c r="J191"/>
  <c r="E190" i="7"/>
  <c r="E188"/>
  <c r="E186"/>
  <c r="E184"/>
  <c r="E182"/>
  <c r="E180"/>
  <c r="E178"/>
  <c r="E176"/>
  <c r="E174"/>
  <c r="E191"/>
  <c r="E189"/>
  <c r="E187"/>
  <c r="E185"/>
  <c r="E183"/>
  <c r="E181"/>
  <c r="E179"/>
  <c r="E177"/>
  <c r="E175"/>
  <c r="E173"/>
  <c r="D77" i="6"/>
  <c r="F77"/>
  <c r="I495" i="8"/>
  <c r="K495" s="1"/>
  <c r="K494"/>
  <c r="H412"/>
  <c r="G187" i="7"/>
  <c r="G184"/>
  <c r="G180"/>
  <c r="G179"/>
  <c r="G177"/>
  <c r="J411" i="8"/>
  <c r="G191" i="7"/>
  <c r="G178"/>
  <c r="G186"/>
  <c r="G185"/>
  <c r="G190"/>
  <c r="G189"/>
  <c r="G188"/>
  <c r="G183"/>
  <c r="G182"/>
  <c r="G181"/>
  <c r="G176"/>
  <c r="G175"/>
  <c r="G174"/>
  <c r="G173"/>
  <c r="I144" i="8"/>
  <c r="H144"/>
  <c r="H160" s="1"/>
  <c r="I160" l="1"/>
  <c r="K160" s="1"/>
  <c r="K144"/>
  <c r="K412"/>
  <c r="E24" i="5" l="1"/>
  <c r="C16"/>
  <c r="H30" i="8" l="1"/>
  <c r="I541" l="1"/>
  <c r="D220" i="7"/>
  <c r="F220"/>
  <c r="H103" i="3"/>
  <c r="H101"/>
  <c r="H100"/>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1"/>
  <c r="F70"/>
  <c r="F47"/>
  <c r="F46"/>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2"/>
  <c r="E81"/>
  <c r="E80"/>
  <c r="E79"/>
  <c r="E76"/>
  <c r="E75"/>
  <c r="E74"/>
  <c r="E73"/>
  <c r="E71"/>
  <c r="E70"/>
  <c r="E69"/>
  <c r="E67"/>
  <c r="E66"/>
  <c r="E65"/>
  <c r="E64"/>
  <c r="E63"/>
  <c r="E62"/>
  <c r="E60"/>
  <c r="E59"/>
  <c r="E58"/>
  <c r="E57"/>
  <c r="E56"/>
  <c r="E55"/>
  <c r="E53"/>
  <c r="E52"/>
  <c r="E49"/>
  <c r="E48"/>
  <c r="E47"/>
  <c r="E46"/>
  <c r="E42"/>
  <c r="E41"/>
  <c r="E40"/>
  <c r="E38"/>
  <c r="E37"/>
  <c r="E36"/>
  <c r="E33"/>
  <c r="E32"/>
  <c r="E30"/>
  <c r="E29"/>
  <c r="E28"/>
  <c r="E27"/>
  <c r="E26"/>
  <c r="E25"/>
  <c r="E24"/>
  <c r="E23"/>
  <c r="E22"/>
  <c r="E21"/>
  <c r="E20"/>
  <c r="E19"/>
  <c r="E18"/>
  <c r="E17"/>
  <c r="E16"/>
  <c r="E15"/>
  <c r="E13"/>
  <c r="E12"/>
  <c r="E11"/>
  <c r="E10"/>
  <c r="E9"/>
  <c r="E8"/>
  <c r="E7"/>
  <c r="E6"/>
  <c r="E5"/>
  <c r="C85"/>
  <c r="C84"/>
  <c r="C83"/>
  <c r="C82"/>
  <c r="C81"/>
  <c r="C80"/>
  <c r="C79"/>
  <c r="C76"/>
  <c r="C75"/>
  <c r="C74"/>
  <c r="C73"/>
  <c r="C71"/>
  <c r="C70"/>
  <c r="C69"/>
  <c r="C67"/>
  <c r="C66"/>
  <c r="C65"/>
  <c r="C64"/>
  <c r="C63"/>
  <c r="C62"/>
  <c r="C60"/>
  <c r="C59"/>
  <c r="C58"/>
  <c r="C57"/>
  <c r="C56"/>
  <c r="C55"/>
  <c r="C53"/>
  <c r="C52"/>
  <c r="C49"/>
  <c r="C48"/>
  <c r="C47"/>
  <c r="C46"/>
  <c r="C42"/>
  <c r="C41"/>
  <c r="C40"/>
  <c r="C38"/>
  <c r="C37"/>
  <c r="C36"/>
  <c r="C33"/>
  <c r="C32"/>
  <c r="C30"/>
  <c r="C29"/>
  <c r="C28"/>
  <c r="C27"/>
  <c r="C26"/>
  <c r="C25"/>
  <c r="C24"/>
  <c r="C23"/>
  <c r="C22"/>
  <c r="C21"/>
  <c r="C20"/>
  <c r="C19"/>
  <c r="C18"/>
  <c r="C17"/>
  <c r="C16"/>
  <c r="C15"/>
  <c r="C13"/>
  <c r="C12"/>
  <c r="C11"/>
  <c r="C10"/>
  <c r="C9"/>
  <c r="C8"/>
  <c r="C7"/>
  <c r="C6"/>
  <c r="C5"/>
  <c r="I60" i="8"/>
  <c r="I46"/>
  <c r="H46"/>
  <c r="H14"/>
  <c r="D46" i="3"/>
  <c r="M14" s="1"/>
  <c r="D49"/>
  <c r="E83" i="5"/>
  <c r="E82"/>
  <c r="E81"/>
  <c r="E79"/>
  <c r="E77"/>
  <c r="E76"/>
  <c r="E75"/>
  <c r="E73"/>
  <c r="E72"/>
  <c r="E71"/>
  <c r="E70"/>
  <c r="E68"/>
  <c r="E67"/>
  <c r="E66"/>
  <c r="E65"/>
  <c r="E64"/>
  <c r="E59"/>
  <c r="E58"/>
  <c r="E57"/>
  <c r="E56"/>
  <c r="E54"/>
  <c r="E53"/>
  <c r="E52"/>
  <c r="E51"/>
  <c r="E49"/>
  <c r="E47"/>
  <c r="E45"/>
  <c r="E43"/>
  <c r="E42"/>
  <c r="E41"/>
  <c r="E40"/>
  <c r="E38"/>
  <c r="E37"/>
  <c r="E36"/>
  <c r="E35"/>
  <c r="E34"/>
  <c r="E32"/>
  <c r="E31"/>
  <c r="E30"/>
  <c r="E29"/>
  <c r="E27"/>
  <c r="E26"/>
  <c r="E25"/>
  <c r="E23"/>
  <c r="E21"/>
  <c r="E20"/>
  <c r="E19"/>
  <c r="E18"/>
  <c r="E17"/>
  <c r="E16"/>
  <c r="E14"/>
  <c r="E13"/>
  <c r="E12"/>
  <c r="E11"/>
  <c r="E10"/>
  <c r="E9"/>
  <c r="E8"/>
  <c r="E7"/>
  <c r="C82"/>
  <c r="C81"/>
  <c r="C79"/>
  <c r="C77"/>
  <c r="C76"/>
  <c r="C75"/>
  <c r="C73"/>
  <c r="C72"/>
  <c r="C71"/>
  <c r="C70"/>
  <c r="C68"/>
  <c r="C67"/>
  <c r="C66"/>
  <c r="C65"/>
  <c r="C64"/>
  <c r="C58"/>
  <c r="C57"/>
  <c r="C56"/>
  <c r="C54"/>
  <c r="C53"/>
  <c r="C52"/>
  <c r="C51"/>
  <c r="C50"/>
  <c r="C49"/>
  <c r="C47"/>
  <c r="C45"/>
  <c r="C43"/>
  <c r="C42"/>
  <c r="C41"/>
  <c r="C40"/>
  <c r="C38"/>
  <c r="C37"/>
  <c r="C36"/>
  <c r="C35"/>
  <c r="C34"/>
  <c r="C32"/>
  <c r="C31"/>
  <c r="C30"/>
  <c r="C29"/>
  <c r="C27"/>
  <c r="C26"/>
  <c r="C25"/>
  <c r="C24"/>
  <c r="C23"/>
  <c r="C21"/>
  <c r="C20"/>
  <c r="C19"/>
  <c r="C18"/>
  <c r="C17"/>
  <c r="C14"/>
  <c r="C13"/>
  <c r="C12"/>
  <c r="C11"/>
  <c r="C10"/>
  <c r="C9"/>
  <c r="C8"/>
  <c r="C7"/>
  <c r="I199" i="8"/>
  <c r="H199"/>
  <c r="H246" s="1"/>
  <c r="I383"/>
  <c r="H383"/>
  <c r="J383"/>
  <c r="H312"/>
  <c r="I246" l="1"/>
  <c r="K246" s="1"/>
  <c r="K199"/>
  <c r="H313"/>
  <c r="K312"/>
  <c r="M15" i="3"/>
  <c r="F49"/>
  <c r="F84" i="6"/>
  <c r="D85"/>
  <c r="D79"/>
  <c r="D5"/>
  <c r="D30"/>
  <c r="D37"/>
  <c r="D42"/>
  <c r="D49"/>
  <c r="D70"/>
  <c r="E11" i="7"/>
  <c r="E194"/>
  <c r="E274"/>
  <c r="F67" i="5"/>
  <c r="F25" i="6"/>
  <c r="D29"/>
  <c r="D36"/>
  <c r="D41"/>
  <c r="D48"/>
  <c r="D84"/>
  <c r="E10" i="7"/>
  <c r="E70"/>
  <c r="E94"/>
  <c r="E226"/>
  <c r="F66" i="5"/>
  <c r="D7" i="6"/>
  <c r="D33"/>
  <c r="D47"/>
  <c r="D53"/>
  <c r="D67"/>
  <c r="E7" i="7"/>
  <c r="E225"/>
  <c r="F40" i="6"/>
  <c r="C39"/>
  <c r="D6"/>
  <c r="D15"/>
  <c r="D32"/>
  <c r="D38"/>
  <c r="D52"/>
  <c r="D62"/>
  <c r="D66"/>
  <c r="D71"/>
  <c r="E12" i="7"/>
  <c r="E72"/>
  <c r="E247"/>
  <c r="D18" i="5"/>
  <c r="F18"/>
  <c r="D34"/>
  <c r="F34"/>
  <c r="D38"/>
  <c r="F38"/>
  <c r="D43"/>
  <c r="F43"/>
  <c r="D51"/>
  <c r="F51"/>
  <c r="D64"/>
  <c r="F64"/>
  <c r="F68"/>
  <c r="D68"/>
  <c r="D9" i="6"/>
  <c r="F9"/>
  <c r="D13"/>
  <c r="F13"/>
  <c r="D18"/>
  <c r="F18"/>
  <c r="D22"/>
  <c r="F22"/>
  <c r="D26"/>
  <c r="F26"/>
  <c r="D56"/>
  <c r="F56"/>
  <c r="D60"/>
  <c r="F60"/>
  <c r="D65"/>
  <c r="F65"/>
  <c r="F75"/>
  <c r="D75"/>
  <c r="F81"/>
  <c r="D81"/>
  <c r="E37" i="7"/>
  <c r="G37"/>
  <c r="E71"/>
  <c r="G71"/>
  <c r="E107"/>
  <c r="G107"/>
  <c r="G150"/>
  <c r="E150"/>
  <c r="G218"/>
  <c r="E218"/>
  <c r="E244"/>
  <c r="G244"/>
  <c r="G320"/>
  <c r="E320"/>
  <c r="E324"/>
  <c r="G324"/>
  <c r="E328"/>
  <c r="G328"/>
  <c r="F9" i="5"/>
  <c r="D9"/>
  <c r="F8"/>
  <c r="D8"/>
  <c r="F12"/>
  <c r="D12"/>
  <c r="F17"/>
  <c r="D17"/>
  <c r="F21"/>
  <c r="D21"/>
  <c r="F37"/>
  <c r="D37"/>
  <c r="F42"/>
  <c r="D42"/>
  <c r="D49"/>
  <c r="F49"/>
  <c r="F8" i="6"/>
  <c r="D8"/>
  <c r="F12"/>
  <c r="D12"/>
  <c r="D17"/>
  <c r="F17"/>
  <c r="D21"/>
  <c r="F21"/>
  <c r="F55"/>
  <c r="D55"/>
  <c r="D59"/>
  <c r="F59"/>
  <c r="D64"/>
  <c r="F64"/>
  <c r="F69"/>
  <c r="D69"/>
  <c r="D74"/>
  <c r="F74"/>
  <c r="D80"/>
  <c r="F80"/>
  <c r="E36" i="7"/>
  <c r="G36"/>
  <c r="E149"/>
  <c r="G149"/>
  <c r="E193"/>
  <c r="G193"/>
  <c r="E217"/>
  <c r="G217"/>
  <c r="E269"/>
  <c r="G269"/>
  <c r="G299"/>
  <c r="E299"/>
  <c r="E323"/>
  <c r="G323"/>
  <c r="E327"/>
  <c r="G327"/>
  <c r="F7" i="5"/>
  <c r="D7"/>
  <c r="D11"/>
  <c r="F11"/>
  <c r="D16"/>
  <c r="F16"/>
  <c r="F20"/>
  <c r="D20"/>
  <c r="D36"/>
  <c r="F36"/>
  <c r="F47"/>
  <c r="D47"/>
  <c r="F53"/>
  <c r="D53"/>
  <c r="D11" i="6"/>
  <c r="F11"/>
  <c r="F16"/>
  <c r="D16"/>
  <c r="D20"/>
  <c r="F20"/>
  <c r="D24"/>
  <c r="F24"/>
  <c r="F28"/>
  <c r="D28"/>
  <c r="E39"/>
  <c r="D40"/>
  <c r="D58"/>
  <c r="F58"/>
  <c r="F63"/>
  <c r="D63"/>
  <c r="D73"/>
  <c r="F73"/>
  <c r="D83"/>
  <c r="F83"/>
  <c r="E35" i="7"/>
  <c r="G35"/>
  <c r="G47"/>
  <c r="E47"/>
  <c r="E93"/>
  <c r="G93"/>
  <c r="G126"/>
  <c r="E126"/>
  <c r="G172"/>
  <c r="E172"/>
  <c r="G216"/>
  <c r="E216"/>
  <c r="E268"/>
  <c r="G268"/>
  <c r="E296"/>
  <c r="G296"/>
  <c r="E322"/>
  <c r="G322"/>
  <c r="E326"/>
  <c r="G326"/>
  <c r="D10" i="5"/>
  <c r="F10"/>
  <c r="D19"/>
  <c r="F19"/>
  <c r="D35"/>
  <c r="F35"/>
  <c r="F45"/>
  <c r="D45"/>
  <c r="F52"/>
  <c r="D52"/>
  <c r="D65"/>
  <c r="F65"/>
  <c r="F75"/>
  <c r="D75"/>
  <c r="D10" i="6"/>
  <c r="F10"/>
  <c r="D19"/>
  <c r="F19"/>
  <c r="D23"/>
  <c r="F23"/>
  <c r="F27"/>
  <c r="D27"/>
  <c r="E45"/>
  <c r="D46"/>
  <c r="F46"/>
  <c r="D57"/>
  <c r="F57"/>
  <c r="F76"/>
  <c r="D76"/>
  <c r="D82"/>
  <c r="F82"/>
  <c r="G6" i="7"/>
  <c r="E6"/>
  <c r="G46"/>
  <c r="E46"/>
  <c r="E125"/>
  <c r="G125"/>
  <c r="E171"/>
  <c r="G171"/>
  <c r="G215"/>
  <c r="E215"/>
  <c r="G219"/>
  <c r="E219"/>
  <c r="E295"/>
  <c r="G295"/>
  <c r="E321"/>
  <c r="G321"/>
  <c r="E325"/>
  <c r="G325"/>
  <c r="G220"/>
  <c r="E220"/>
  <c r="F319"/>
  <c r="D319"/>
  <c r="G225"/>
  <c r="D34"/>
  <c r="E31" i="6"/>
  <c r="C45"/>
  <c r="C35" s="1"/>
  <c r="C31"/>
  <c r="E50" i="5"/>
  <c r="E72" i="6"/>
  <c r="F170" i="7"/>
  <c r="C72" i="6"/>
  <c r="D170" i="7"/>
  <c r="H46" i="3"/>
  <c r="H15" i="8"/>
  <c r="J259"/>
  <c r="J276"/>
  <c r="J334"/>
  <c r="J199"/>
  <c r="I313"/>
  <c r="K313" s="1"/>
  <c r="I504"/>
  <c r="H504"/>
  <c r="H505" s="1"/>
  <c r="I358"/>
  <c r="I469"/>
  <c r="H469"/>
  <c r="H470" s="1"/>
  <c r="I419"/>
  <c r="H419"/>
  <c r="I441"/>
  <c r="H442"/>
  <c r="H443" s="1"/>
  <c r="I388"/>
  <c r="I389" s="1"/>
  <c r="K389" s="1"/>
  <c r="H388"/>
  <c r="H389" s="1"/>
  <c r="I30"/>
  <c r="J346"/>
  <c r="J352" s="1"/>
  <c r="I103"/>
  <c r="I110" s="1"/>
  <c r="H103"/>
  <c r="H110" s="1"/>
  <c r="J109"/>
  <c r="I376"/>
  <c r="K376" s="1"/>
  <c r="H376"/>
  <c r="H377" s="1"/>
  <c r="K110" l="1"/>
  <c r="I420"/>
  <c r="K419"/>
  <c r="H420"/>
  <c r="H421" s="1"/>
  <c r="J419"/>
  <c r="I442"/>
  <c r="I443" s="1"/>
  <c r="K441"/>
  <c r="K442" s="1"/>
  <c r="K443" s="1"/>
  <c r="I470"/>
  <c r="I471" s="1"/>
  <c r="K469"/>
  <c r="K470" s="1"/>
  <c r="K471" s="1"/>
  <c r="D31" i="6"/>
  <c r="E319" i="7"/>
  <c r="D50" i="5"/>
  <c r="F50"/>
  <c r="D45" i="6"/>
  <c r="F45"/>
  <c r="F39"/>
  <c r="E35"/>
  <c r="D35" s="1"/>
  <c r="D39"/>
  <c r="F14"/>
  <c r="F72"/>
  <c r="D72"/>
  <c r="G170" i="7"/>
  <c r="E170"/>
  <c r="G319"/>
  <c r="I505" i="8"/>
  <c r="K505" s="1"/>
  <c r="K504"/>
  <c r="J180"/>
  <c r="J181" s="1"/>
  <c r="I377"/>
  <c r="J277"/>
  <c r="J70"/>
  <c r="J327"/>
  <c r="J340" s="1"/>
  <c r="J93"/>
  <c r="J298"/>
  <c r="J45"/>
  <c r="J46" s="1"/>
  <c r="J358"/>
  <c r="H471"/>
  <c r="J376"/>
  <c r="J246"/>
  <c r="J406"/>
  <c r="J412" s="1"/>
  <c r="J494"/>
  <c r="J495" s="1"/>
  <c r="J503"/>
  <c r="J441"/>
  <c r="J442" s="1"/>
  <c r="J443" s="1"/>
  <c r="J469"/>
  <c r="J470" s="1"/>
  <c r="J388"/>
  <c r="J389" s="1"/>
  <c r="J420"/>
  <c r="F35" i="6" l="1"/>
  <c r="K420" i="8"/>
  <c r="I421"/>
  <c r="K421" s="1"/>
  <c r="K377"/>
  <c r="J377"/>
  <c r="J110"/>
  <c r="H518"/>
  <c r="J313"/>
  <c r="J59"/>
  <c r="J60" s="1"/>
  <c r="J504"/>
  <c r="J505" s="1"/>
  <c r="J471"/>
  <c r="I518" l="1"/>
  <c r="K518" s="1"/>
  <c r="H519"/>
  <c r="J541"/>
  <c r="H541"/>
  <c r="E14" i="4"/>
  <c r="G59"/>
  <c r="G55"/>
  <c r="F55"/>
  <c r="G52"/>
  <c r="F52"/>
  <c r="E52"/>
  <c r="G43"/>
  <c r="F43"/>
  <c r="G40"/>
  <c r="F40"/>
  <c r="E40"/>
  <c r="G37"/>
  <c r="F37"/>
  <c r="E37"/>
  <c r="G34"/>
  <c r="F34"/>
  <c r="E34"/>
  <c r="G31"/>
  <c r="F31"/>
  <c r="E31"/>
  <c r="G28"/>
  <c r="F28"/>
  <c r="E28"/>
  <c r="G22"/>
  <c r="F17"/>
  <c r="G17"/>
  <c r="F14"/>
  <c r="G14"/>
  <c r="E17"/>
  <c r="I519" i="8" l="1"/>
  <c r="K519" s="1"/>
  <c r="F6" i="4"/>
  <c r="H6" s="1"/>
  <c r="H55"/>
  <c r="H59"/>
  <c r="H52"/>
  <c r="H43"/>
  <c r="H48"/>
  <c r="H40"/>
  <c r="H37"/>
  <c r="H22"/>
  <c r="H31"/>
  <c r="H34"/>
  <c r="H28"/>
  <c r="H17"/>
  <c r="H14"/>
  <c r="F169" i="7"/>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F122"/>
  <c r="F121"/>
  <c r="F120"/>
  <c r="F119"/>
  <c r="F118"/>
  <c r="F117"/>
  <c r="F116"/>
  <c r="F115"/>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F104"/>
  <c r="F103"/>
  <c r="F102"/>
  <c r="F101"/>
  <c r="F100"/>
  <c r="F99"/>
  <c r="F98"/>
  <c r="F97"/>
  <c r="F96"/>
  <c r="F95"/>
  <c r="D105"/>
  <c r="D104"/>
  <c r="D103"/>
  <c r="D102"/>
  <c r="D101"/>
  <c r="D100"/>
  <c r="D99"/>
  <c r="D98"/>
  <c r="D97"/>
  <c r="D96"/>
  <c r="D95"/>
  <c r="F91"/>
  <c r="F90"/>
  <c r="F89"/>
  <c r="F88"/>
  <c r="F87"/>
  <c r="F86"/>
  <c r="F85"/>
  <c r="F84"/>
  <c r="F83"/>
  <c r="F82"/>
  <c r="F81"/>
  <c r="F80"/>
  <c r="F79"/>
  <c r="F78"/>
  <c r="F77"/>
  <c r="F76"/>
  <c r="F75"/>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C72"/>
  <c r="F68"/>
  <c r="F67"/>
  <c r="F66"/>
  <c r="F65"/>
  <c r="F64"/>
  <c r="F63"/>
  <c r="F62"/>
  <c r="F61"/>
  <c r="F60"/>
  <c r="F59"/>
  <c r="F58"/>
  <c r="F57"/>
  <c r="F56"/>
  <c r="F55"/>
  <c r="F54"/>
  <c r="F53"/>
  <c r="F52"/>
  <c r="F51"/>
  <c r="F50"/>
  <c r="D68"/>
  <c r="D67"/>
  <c r="D66"/>
  <c r="D65"/>
  <c r="D64"/>
  <c r="D63"/>
  <c r="D62"/>
  <c r="D61"/>
  <c r="D60"/>
  <c r="D59"/>
  <c r="D58"/>
  <c r="D57"/>
  <c r="D56"/>
  <c r="D55"/>
  <c r="D54"/>
  <c r="D53"/>
  <c r="D52"/>
  <c r="D51"/>
  <c r="D50"/>
  <c r="E115" l="1"/>
  <c r="E119"/>
  <c r="E123"/>
  <c r="E52"/>
  <c r="E56"/>
  <c r="E97"/>
  <c r="E101"/>
  <c r="E105"/>
  <c r="E50"/>
  <c r="E54"/>
  <c r="E58"/>
  <c r="E62"/>
  <c r="E66"/>
  <c r="E75"/>
  <c r="E79"/>
  <c r="E83"/>
  <c r="E87"/>
  <c r="E91"/>
  <c r="E95"/>
  <c r="E99"/>
  <c r="E103"/>
  <c r="E303"/>
  <c r="E307"/>
  <c r="E311"/>
  <c r="E315"/>
  <c r="E277"/>
  <c r="E281"/>
  <c r="E285"/>
  <c r="E289"/>
  <c r="E293"/>
  <c r="E251"/>
  <c r="E255"/>
  <c r="E259"/>
  <c r="E263"/>
  <c r="E227"/>
  <c r="E231"/>
  <c r="E235"/>
  <c r="E239"/>
  <c r="E195"/>
  <c r="E199"/>
  <c r="E203"/>
  <c r="E207"/>
  <c r="E211"/>
  <c r="E152"/>
  <c r="E156"/>
  <c r="E160"/>
  <c r="E164"/>
  <c r="E168"/>
  <c r="E53"/>
  <c r="E57"/>
  <c r="E61"/>
  <c r="E65"/>
  <c r="E74"/>
  <c r="E78"/>
  <c r="E82"/>
  <c r="E86"/>
  <c r="E90"/>
  <c r="E98"/>
  <c r="E102"/>
  <c r="E118"/>
  <c r="E122"/>
  <c r="E302"/>
  <c r="E306"/>
  <c r="E310"/>
  <c r="E314"/>
  <c r="E318"/>
  <c r="E280"/>
  <c r="E284"/>
  <c r="E288"/>
  <c r="E292"/>
  <c r="E250"/>
  <c r="E254"/>
  <c r="E258"/>
  <c r="E262"/>
  <c r="E266"/>
  <c r="E230"/>
  <c r="E234"/>
  <c r="E238"/>
  <c r="E242"/>
  <c r="E198"/>
  <c r="E202"/>
  <c r="E206"/>
  <c r="E210"/>
  <c r="E151"/>
  <c r="E155"/>
  <c r="E159"/>
  <c r="E163"/>
  <c r="E167"/>
  <c r="E60"/>
  <c r="E64"/>
  <c r="E68"/>
  <c r="E73"/>
  <c r="E77"/>
  <c r="E81"/>
  <c r="E85"/>
  <c r="E89"/>
  <c r="E117"/>
  <c r="E121"/>
  <c r="E301"/>
  <c r="E305"/>
  <c r="E309"/>
  <c r="E313"/>
  <c r="E317"/>
  <c r="E279"/>
  <c r="E283"/>
  <c r="E287"/>
  <c r="E291"/>
  <c r="E249"/>
  <c r="E253"/>
  <c r="E257"/>
  <c r="E261"/>
  <c r="E265"/>
  <c r="E229"/>
  <c r="E233"/>
  <c r="E237"/>
  <c r="E241"/>
  <c r="E197"/>
  <c r="E201"/>
  <c r="E205"/>
  <c r="E209"/>
  <c r="E213"/>
  <c r="E154"/>
  <c r="E158"/>
  <c r="E162"/>
  <c r="E166"/>
  <c r="E51"/>
  <c r="E55"/>
  <c r="E59"/>
  <c r="E63"/>
  <c r="E67"/>
  <c r="E76"/>
  <c r="E80"/>
  <c r="E84"/>
  <c r="E88"/>
  <c r="E96"/>
  <c r="E100"/>
  <c r="E104"/>
  <c r="E116"/>
  <c r="E120"/>
  <c r="E304"/>
  <c r="E308"/>
  <c r="E312"/>
  <c r="E316"/>
  <c r="E278"/>
  <c r="E282"/>
  <c r="E286"/>
  <c r="E290"/>
  <c r="E248"/>
  <c r="E252"/>
  <c r="E256"/>
  <c r="E260"/>
  <c r="E264"/>
  <c r="E228"/>
  <c r="E232"/>
  <c r="E236"/>
  <c r="E240"/>
  <c r="E196"/>
  <c r="E200"/>
  <c r="E204"/>
  <c r="E208"/>
  <c r="E212"/>
  <c r="E153"/>
  <c r="E157"/>
  <c r="E161"/>
  <c r="E165"/>
  <c r="E169"/>
  <c r="G152"/>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F59" i="5"/>
  <c r="G54" i="7"/>
  <c r="G303"/>
  <c r="G307"/>
  <c r="G311"/>
  <c r="G315"/>
  <c r="F56" i="5"/>
  <c r="F57"/>
  <c r="F58"/>
  <c r="G117" i="7"/>
  <c r="G121"/>
  <c r="G118"/>
  <c r="G122"/>
  <c r="G115"/>
  <c r="G119"/>
  <c r="G123"/>
  <c r="C55"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E13" l="1"/>
  <c r="E17"/>
  <c r="E21"/>
  <c r="E25"/>
  <c r="E29"/>
  <c r="E33"/>
  <c r="E16"/>
  <c r="E20"/>
  <c r="E24"/>
  <c r="E28"/>
  <c r="E32"/>
  <c r="E15"/>
  <c r="E19"/>
  <c r="E23"/>
  <c r="E27"/>
  <c r="E31"/>
  <c r="E14"/>
  <c r="E18"/>
  <c r="E22"/>
  <c r="E26"/>
  <c r="E30"/>
  <c r="G19"/>
  <c r="G27"/>
  <c r="G31"/>
  <c r="G16"/>
  <c r="G14"/>
  <c r="G18"/>
  <c r="G21"/>
  <c r="G25"/>
  <c r="G22"/>
  <c r="G30"/>
  <c r="G17"/>
  <c r="G26"/>
  <c r="G24"/>
  <c r="G20"/>
  <c r="G12"/>
  <c r="G11"/>
  <c r="G15"/>
  <c r="G23"/>
  <c r="G13"/>
  <c r="G32"/>
  <c r="G28"/>
  <c r="G33"/>
  <c r="G29"/>
  <c r="F276" l="1"/>
  <c r="F275"/>
  <c r="D275" l="1"/>
  <c r="G275" s="1"/>
  <c r="E275" l="1"/>
  <c r="G194"/>
  <c r="D192"/>
  <c r="B356" s="1"/>
  <c r="D276"/>
  <c r="D148"/>
  <c r="B354" s="1"/>
  <c r="B348"/>
  <c r="D5"/>
  <c r="D45"/>
  <c r="C78" i="5"/>
  <c r="E78"/>
  <c r="E55"/>
  <c r="F55" s="1"/>
  <c r="F192" i="7"/>
  <c r="F148"/>
  <c r="G276" l="1"/>
  <c r="E276"/>
  <c r="E148"/>
  <c r="G148"/>
  <c r="E192"/>
  <c r="G192"/>
  <c r="B355"/>
  <c r="E22" i="5"/>
  <c r="B347" i="7"/>
  <c r="B349"/>
  <c r="E80" i="5"/>
  <c r="E6"/>
  <c r="E15"/>
  <c r="E28"/>
  <c r="C6"/>
  <c r="C15"/>
  <c r="C39"/>
  <c r="C80"/>
  <c r="C63"/>
  <c r="C74"/>
  <c r="C28"/>
  <c r="C48"/>
  <c r="C78" i="6"/>
  <c r="C33" i="5"/>
  <c r="C22"/>
  <c r="C69"/>
  <c r="I6" i="16"/>
  <c r="F7" i="6"/>
  <c r="F33"/>
  <c r="F52"/>
  <c r="F71"/>
  <c r="F36"/>
  <c r="F47"/>
  <c r="F85"/>
  <c r="F5"/>
  <c r="F30"/>
  <c r="F41"/>
  <c r="F48"/>
  <c r="F62"/>
  <c r="F66"/>
  <c r="F6"/>
  <c r="F32"/>
  <c r="F38"/>
  <c r="F42"/>
  <c r="F49"/>
  <c r="F53"/>
  <c r="F70"/>
  <c r="F79"/>
  <c r="F267" i="7"/>
  <c r="F45"/>
  <c r="E45" l="1"/>
  <c r="G45"/>
  <c r="D6" i="5"/>
  <c r="F6"/>
  <c r="D15"/>
  <c r="F15"/>
  <c r="F5" i="7"/>
  <c r="F34"/>
  <c r="D267"/>
  <c r="B359" s="1"/>
  <c r="D69"/>
  <c r="E68" i="6"/>
  <c r="E78"/>
  <c r="F78" s="1"/>
  <c r="F294" i="7"/>
  <c r="C62" i="5"/>
  <c r="F67" i="6"/>
  <c r="D294" i="7"/>
  <c r="B360" s="1"/>
  <c r="C54" i="6"/>
  <c r="E54"/>
  <c r="F37"/>
  <c r="F29"/>
  <c r="F15"/>
  <c r="E61"/>
  <c r="E4"/>
  <c r="G247" i="7"/>
  <c r="D124"/>
  <c r="D106"/>
  <c r="G94"/>
  <c r="H102" i="3"/>
  <c r="H99"/>
  <c r="H96"/>
  <c r="H93"/>
  <c r="H90"/>
  <c r="H88"/>
  <c r="H79"/>
  <c r="H76"/>
  <c r="H67"/>
  <c r="H54"/>
  <c r="H49"/>
  <c r="H43"/>
  <c r="H33"/>
  <c r="H22"/>
  <c r="H6"/>
  <c r="G102"/>
  <c r="G99"/>
  <c r="G96"/>
  <c r="D92" i="7"/>
  <c r="G70"/>
  <c r="G274"/>
  <c r="G7"/>
  <c r="G10"/>
  <c r="F78" i="5"/>
  <c r="F77"/>
  <c r="E74"/>
  <c r="E63"/>
  <c r="F54"/>
  <c r="E48"/>
  <c r="E46"/>
  <c r="E39"/>
  <c r="F40"/>
  <c r="F31"/>
  <c r="F29"/>
  <c r="F26"/>
  <c r="F24"/>
  <c r="F14"/>
  <c r="D102" i="3"/>
  <c r="I10" i="16" s="1"/>
  <c r="D99" i="3"/>
  <c r="D88"/>
  <c r="D96"/>
  <c r="D93"/>
  <c r="D90"/>
  <c r="D79"/>
  <c r="D76"/>
  <c r="D67"/>
  <c r="D54"/>
  <c r="D43"/>
  <c r="D33"/>
  <c r="D22"/>
  <c r="D6"/>
  <c r="I9" i="16"/>
  <c r="F81" i="5"/>
  <c r="F79"/>
  <c r="F70"/>
  <c r="F72"/>
  <c r="E33"/>
  <c r="E69"/>
  <c r="F76"/>
  <c r="F13"/>
  <c r="F23"/>
  <c r="F25"/>
  <c r="F27"/>
  <c r="F30"/>
  <c r="F32"/>
  <c r="F41"/>
  <c r="F71"/>
  <c r="C46"/>
  <c r="C88" s="1"/>
  <c r="I12" i="16"/>
  <c r="C61" i="6"/>
  <c r="F28" i="5"/>
  <c r="F80"/>
  <c r="F22"/>
  <c r="E88" l="1"/>
  <c r="F342" i="7" s="1"/>
  <c r="E5" i="5"/>
  <c r="F96" i="3"/>
  <c r="G92"/>
  <c r="G267" i="7"/>
  <c r="E267"/>
  <c r="F33" i="5"/>
  <c r="D33"/>
  <c r="D48"/>
  <c r="F48"/>
  <c r="D61" i="6"/>
  <c r="F61"/>
  <c r="D54"/>
  <c r="F54"/>
  <c r="F74" i="5"/>
  <c r="D74"/>
  <c r="F46"/>
  <c r="D46"/>
  <c r="E5" i="7"/>
  <c r="G5"/>
  <c r="D39" i="5"/>
  <c r="F39"/>
  <c r="D63"/>
  <c r="F63"/>
  <c r="G34" i="7"/>
  <c r="E34"/>
  <c r="G294"/>
  <c r="E294"/>
  <c r="F69" i="5"/>
  <c r="D78" i="6"/>
  <c r="D86" i="5"/>
  <c r="I13" i="16"/>
  <c r="H98" i="3"/>
  <c r="D5"/>
  <c r="H92"/>
  <c r="D53"/>
  <c r="B350" i="7"/>
  <c r="J14" i="8"/>
  <c r="J15" s="1"/>
  <c r="J144"/>
  <c r="J29"/>
  <c r="G98" i="3"/>
  <c r="H45"/>
  <c r="H53"/>
  <c r="J30" i="8"/>
  <c r="F214" i="7"/>
  <c r="E14" i="6"/>
  <c r="H5" i="3"/>
  <c r="D45"/>
  <c r="F45" s="1"/>
  <c r="D92"/>
  <c r="F243" i="7"/>
  <c r="F124"/>
  <c r="F92"/>
  <c r="F69"/>
  <c r="D98" i="3"/>
  <c r="G72" i="7"/>
  <c r="F106"/>
  <c r="C4" i="6"/>
  <c r="D4" s="1"/>
  <c r="F4"/>
  <c r="C5" i="5"/>
  <c r="B352" i="7"/>
  <c r="E62" i="5"/>
  <c r="D62" s="1"/>
  <c r="D243" i="7"/>
  <c r="B353"/>
  <c r="B351"/>
  <c r="D214"/>
  <c r="C68" i="6"/>
  <c r="F68" s="1"/>
  <c r="I4" i="16" l="1"/>
  <c r="F92" i="3"/>
  <c r="I3" i="16"/>
  <c r="M13" i="3"/>
  <c r="F53"/>
  <c r="F86" i="6"/>
  <c r="D68"/>
  <c r="G243" i="7"/>
  <c r="E243"/>
  <c r="E214"/>
  <c r="G214"/>
  <c r="E86" i="6"/>
  <c r="E87" s="1"/>
  <c r="E124" i="7"/>
  <c r="G124"/>
  <c r="G106"/>
  <c r="E106"/>
  <c r="G92"/>
  <c r="E92"/>
  <c r="E69"/>
  <c r="G69"/>
  <c r="F62" i="5"/>
  <c r="F5"/>
  <c r="D5"/>
  <c r="M19" i="3"/>
  <c r="J160" i="8"/>
  <c r="J421" s="1"/>
  <c r="J518" s="1"/>
  <c r="J519" s="1"/>
  <c r="M17" i="3"/>
  <c r="D341" i="7"/>
  <c r="F341"/>
  <c r="D4" i="3"/>
  <c r="F4" s="1"/>
  <c r="H4"/>
  <c r="H104" s="1"/>
  <c r="G104"/>
  <c r="C14" i="6"/>
  <c r="D14" s="1"/>
  <c r="E89" i="5"/>
  <c r="B358" i="7"/>
  <c r="D60" i="5"/>
  <c r="D56"/>
  <c r="D73"/>
  <c r="D31"/>
  <c r="D78"/>
  <c r="D13"/>
  <c r="D29"/>
  <c r="D70"/>
  <c r="D22"/>
  <c r="D54"/>
  <c r="D76"/>
  <c r="D59"/>
  <c r="D81"/>
  <c r="D24"/>
  <c r="D66"/>
  <c r="D30"/>
  <c r="D80"/>
  <c r="D58"/>
  <c r="D28"/>
  <c r="D82"/>
  <c r="D41"/>
  <c r="D14"/>
  <c r="D57"/>
  <c r="D23"/>
  <c r="D72"/>
  <c r="D32"/>
  <c r="D88"/>
  <c r="D25"/>
  <c r="D79"/>
  <c r="D67"/>
  <c r="D77"/>
  <c r="D26"/>
  <c r="D27"/>
  <c r="D40"/>
  <c r="D69"/>
  <c r="D71"/>
  <c r="D83"/>
  <c r="B357" i="7"/>
  <c r="B361"/>
  <c r="E341" l="1"/>
  <c r="F88" i="5"/>
  <c r="G341" i="7"/>
  <c r="C86" i="6"/>
  <c r="D86" s="1"/>
  <c r="E338" i="7"/>
  <c r="E339"/>
  <c r="D105" i="3"/>
  <c r="D104"/>
  <c r="F104" s="1"/>
  <c r="I5" i="16"/>
  <c r="I7" s="1"/>
  <c r="I14" s="1"/>
  <c r="G105" i="3"/>
  <c r="F105" l="1"/>
  <c r="H105"/>
  <c r="H107" s="1"/>
  <c r="F78"/>
  <c r="F91"/>
  <c r="F99"/>
  <c r="F42"/>
  <c r="F103"/>
  <c r="F46"/>
  <c r="F93"/>
  <c r="F66"/>
  <c r="F100"/>
  <c r="F90"/>
  <c r="F101"/>
  <c r="F34"/>
  <c r="F102"/>
  <c r="F94"/>
  <c r="F47"/>
  <c r="F95"/>
  <c r="F35"/>
  <c r="F85"/>
  <c r="F48"/>
  <c r="F87"/>
  <c r="F88"/>
  <c r="F98"/>
  <c r="F89"/>
  <c r="D107"/>
  <c r="F36"/>
  <c r="G107"/>
  <c r="C87" i="6"/>
  <c r="C89" i="5"/>
  <c r="F89"/>
  <c r="F87" i="6" l="1"/>
  <c r="E340" i="7"/>
  <c r="D342"/>
  <c r="G342"/>
</calcChain>
</file>

<file path=xl/sharedStrings.xml><?xml version="1.0" encoding="utf-8"?>
<sst xmlns="http://schemas.openxmlformats.org/spreadsheetml/2006/main" count="7093" uniqueCount="4761">
  <si>
    <t>А.</t>
  </si>
  <si>
    <t>РАЧУН ПРИХОДА И ПРИМАЊА</t>
  </si>
  <si>
    <t>Економска класификација</t>
  </si>
  <si>
    <t>у динарима</t>
  </si>
  <si>
    <t>Укупни приходи и примања остварени по основу продаје нефинансијске имовине</t>
  </si>
  <si>
    <t>7 + 8</t>
  </si>
  <si>
    <t>Укупни расходи и издаци за набавку нефинансијске имовине</t>
  </si>
  <si>
    <t>4 + 5</t>
  </si>
  <si>
    <t>(7+8) - (4+5)</t>
  </si>
  <si>
    <t>((7+8) - (4+5)) - 62</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</si>
  <si>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</si>
  <si>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</si>
  <si>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</si>
  <si>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</si>
  <si>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</si>
  <si>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</si>
  <si>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</si>
  <si>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</si>
  <si>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</si>
  <si>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</si>
  <si>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</si>
  <si>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</si>
  <si>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</si>
  <si>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</si>
  <si>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</si>
  <si>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</si>
  <si>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</si>
  <si>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</si>
  <si>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</si>
  <si>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</si>
  <si>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</si>
  <si>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</si>
  <si>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</si>
  <si>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</si>
  <si>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</si>
  <si>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</si>
  <si>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</si>
  <si>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</si>
  <si>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</si>
  <si>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</si>
  <si>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</si>
  <si>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</si>
  <si>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</si>
  <si>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</si>
  <si>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</si>
  <si>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</si>
  <si>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</si>
  <si>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</si>
  <si>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</si>
  <si>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</si>
  <si>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</si>
  <si>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</si>
  <si>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</si>
  <si>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</si>
  <si>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</si>
  <si>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</si>
  <si>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</si>
  <si>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</si>
  <si>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</si>
  <si>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</si>
  <si>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</si>
  <si>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</si>
  <si>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</si>
  <si>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</si>
  <si>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</si>
  <si>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</si>
  <si>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</si>
  <si>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</si>
  <si>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</si>
  <si>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</si>
  <si>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</si>
  <si>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</si>
  <si>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</si>
  <si>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</si>
  <si>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</si>
  <si>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</si>
  <si>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</si>
  <si>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</si>
  <si>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</si>
  <si>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</si>
  <si>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</si>
  <si>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</si>
  <si>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</si>
  <si>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</si>
  <si>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</si>
  <si>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</si>
  <si>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</si>
  <si>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</si>
  <si>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</si>
  <si>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</si>
  <si>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</si>
  <si>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</si>
  <si>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</si>
  <si>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</si>
  <si>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</si>
  <si>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</si>
  <si>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</si>
  <si>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</si>
  <si>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</si>
  <si>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</si>
  <si>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</si>
  <si>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</si>
  <si>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</si>
  <si>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</si>
  <si>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</si>
  <si>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</si>
  <si>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</si>
  <si>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</si>
  <si>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</si>
  <si>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</si>
  <si>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</si>
  <si>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</si>
  <si>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</si>
  <si>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</si>
  <si>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</si>
  <si>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</si>
  <si>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</si>
  <si>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</si>
  <si>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</si>
  <si>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</si>
  <si>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</si>
  <si>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</si>
  <si>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</si>
  <si>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</si>
  <si>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</si>
  <si>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</si>
  <si>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</si>
  <si>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</si>
  <si>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</si>
  <si>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</si>
  <si>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</si>
  <si>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</si>
  <si>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</si>
  <si>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</si>
  <si>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</si>
  <si>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</si>
  <si>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</si>
  <si>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</si>
  <si>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</si>
  <si>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</si>
  <si>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</si>
  <si>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</si>
  <si>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</si>
  <si>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</si>
  <si>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</si>
  <si>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</si>
  <si>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</si>
  <si>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</si>
  <si>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</si>
  <si>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</si>
  <si>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</si>
  <si>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</si>
  <si>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</si>
  <si>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</si>
  <si>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</si>
  <si>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</si>
  <si>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</si>
  <si>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</si>
  <si>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</si>
  <si>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</si>
  <si>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</si>
  <si>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</si>
  <si>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</si>
  <si>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</si>
  <si>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</si>
  <si>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</si>
  <si>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</si>
  <si>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</si>
  <si>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</si>
  <si>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</si>
  <si>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</si>
  <si>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</si>
  <si>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</si>
  <si>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</si>
  <si>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</si>
  <si>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</si>
  <si>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</si>
  <si>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</si>
  <si>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</si>
  <si>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</si>
  <si>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</si>
  <si>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</si>
  <si>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</si>
  <si>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</si>
  <si>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</si>
  <si>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</si>
  <si>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</si>
  <si>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</si>
  <si>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</si>
  <si>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</si>
  <si>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</si>
  <si>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</si>
  <si>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</si>
  <si>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</si>
  <si>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</si>
  <si>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</si>
  <si>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</si>
  <si>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</si>
  <si>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</si>
  <si>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</si>
  <si>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</si>
  <si>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</si>
  <si>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</si>
  <si>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</si>
  <si>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</si>
  <si>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</si>
  <si>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</si>
  <si>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</si>
  <si>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</si>
  <si>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</si>
  <si>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</si>
  <si>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</si>
  <si>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</si>
  <si>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</si>
  <si>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</si>
  <si>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</si>
  <si>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</si>
  <si>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</si>
  <si>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</si>
  <si>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</si>
  <si>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</si>
  <si>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</si>
  <si>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</si>
  <si>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</si>
  <si>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</si>
  <si>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</si>
  <si>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</si>
  <si>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</si>
  <si>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</si>
  <si>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</si>
  <si>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</si>
  <si>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</si>
  <si>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</si>
  <si>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</si>
  <si>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</si>
  <si>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</si>
  <si>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</si>
  <si>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</si>
  <si>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</si>
  <si>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</si>
  <si>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</si>
  <si>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</si>
  <si>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</si>
  <si>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</si>
  <si>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</si>
  <si>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</si>
  <si>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</si>
  <si>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</si>
  <si>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</si>
  <si>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</si>
  <si>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</si>
  <si>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</si>
  <si>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</si>
  <si>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</si>
  <si>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</si>
  <si>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</si>
  <si>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</si>
  <si>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</si>
  <si>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</si>
  <si>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</si>
  <si>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</si>
  <si>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</si>
  <si>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</si>
  <si>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</si>
  <si>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</si>
  <si>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</si>
  <si>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</si>
  <si>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</si>
  <si>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</si>
  <si>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</si>
  <si>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</si>
  <si>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</si>
  <si>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</si>
  <si>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</si>
  <si>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</si>
  <si>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</si>
  <si>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</si>
  <si>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</si>
  <si>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</si>
  <si>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</si>
  <si>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</si>
  <si>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</si>
  <si>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</si>
  <si>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</si>
  <si>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</si>
  <si>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</si>
  <si>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</si>
  <si>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</si>
  <si>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</si>
  <si>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</si>
  <si>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</si>
  <si>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</si>
  <si>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</si>
  <si>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</si>
  <si>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</si>
  <si>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</si>
  <si>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</si>
  <si>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</si>
  <si>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</si>
  <si>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</si>
  <si>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</si>
  <si>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</si>
  <si>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</si>
  <si>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</si>
  <si>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</si>
  <si>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</si>
  <si>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</si>
  <si>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</si>
  <si>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</si>
  <si>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</si>
  <si>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</si>
  <si>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</si>
  <si>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</si>
  <si>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</si>
  <si>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</si>
  <si>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</si>
  <si>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</si>
  <si>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</si>
  <si>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</si>
  <si>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</si>
  <si>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</si>
  <si>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</si>
  <si>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</si>
  <si>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</si>
  <si>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</si>
  <si>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</si>
  <si>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</si>
  <si>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</si>
  <si>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</si>
  <si>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</si>
  <si>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</si>
  <si>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</si>
  <si>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</si>
  <si>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</si>
  <si>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</si>
  <si>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</si>
  <si>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</si>
  <si>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</si>
  <si>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</si>
  <si>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</si>
  <si>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</si>
  <si>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</si>
  <si>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</si>
  <si>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</si>
  <si>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</si>
  <si>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</si>
  <si>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</si>
  <si>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</si>
  <si>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</si>
  <si>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</si>
  <si>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</si>
  <si>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</si>
  <si>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</si>
  <si>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</si>
  <si>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</si>
  <si>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</si>
  <si>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</si>
  <si>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</si>
  <si>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</si>
  <si>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</si>
  <si>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</si>
  <si>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</si>
  <si>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</si>
  <si>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</si>
  <si>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</si>
  <si>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</si>
  <si>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</si>
  <si>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</si>
  <si>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</si>
  <si>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</si>
  <si>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</si>
  <si>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</si>
  <si>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</si>
  <si>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</si>
  <si>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</si>
  <si>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</si>
  <si>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</si>
  <si>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</si>
  <si>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</si>
  <si>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</si>
  <si>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</si>
  <si>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</si>
  <si>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</si>
  <si>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</si>
  <si>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</si>
  <si>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</si>
  <si>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</si>
  <si>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</si>
  <si>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</si>
  <si>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</si>
  <si>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</si>
  <si>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</si>
  <si>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</si>
  <si>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</si>
  <si>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</si>
  <si>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</si>
  <si>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</si>
  <si>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</si>
  <si>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</si>
  <si>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</si>
  <si>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</si>
  <si>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</si>
  <si>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</si>
  <si>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</si>
  <si>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</si>
  <si>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</si>
  <si>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</si>
  <si>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</si>
  <si>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</si>
  <si>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</si>
  <si>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</si>
  <si>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</si>
  <si>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</si>
  <si>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</si>
  <si>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</si>
  <si>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</si>
  <si>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</si>
  <si>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</si>
  <si>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</si>
  <si>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</si>
  <si>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</si>
  <si>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</si>
  <si>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</si>
  <si>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</si>
  <si>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</si>
  <si>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</si>
  <si>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</si>
  <si>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</si>
  <si>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</si>
  <si>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</si>
  <si>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</si>
  <si>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</si>
  <si>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</si>
  <si>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</si>
  <si>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</si>
  <si>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</si>
  <si>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</si>
  <si>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</si>
  <si>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</si>
  <si>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</si>
  <si>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</si>
  <si>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</si>
  <si>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</si>
  <si>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</si>
  <si>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</si>
  <si>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</si>
  <si>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</si>
  <si>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</si>
  <si>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</si>
  <si>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</si>
  <si>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</si>
  <si>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</si>
  <si>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</si>
  <si>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</si>
  <si>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</si>
  <si>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</si>
  <si>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</si>
  <si>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</si>
  <si>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</si>
  <si>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</si>
  <si>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</si>
  <si>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</si>
  <si>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</si>
  <si>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</si>
  <si>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</si>
  <si>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</si>
  <si>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</si>
  <si>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</si>
  <si>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</si>
  <si>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</si>
  <si>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</si>
  <si>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</si>
  <si>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</si>
  <si>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</si>
  <si>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</si>
  <si>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</si>
  <si>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</si>
  <si>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</si>
  <si>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</si>
  <si>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</si>
  <si>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</si>
  <si>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</si>
  <si>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</si>
  <si>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</si>
  <si>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</si>
  <si>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</si>
  <si>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</si>
  <si>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</si>
  <si>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</si>
  <si>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</si>
  <si>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</si>
  <si>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</si>
  <si>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</si>
  <si>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</si>
  <si>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</si>
  <si>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</si>
  <si>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</si>
  <si>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</si>
  <si>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</si>
  <si>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</si>
  <si>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</si>
  <si>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</si>
  <si>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</si>
  <si>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</si>
  <si>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</si>
  <si>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</si>
  <si>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</si>
  <si>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</si>
  <si>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</si>
  <si>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</si>
  <si>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</si>
  <si>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</si>
  <si>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</si>
  <si>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</si>
  <si>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</si>
  <si>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</si>
  <si>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</si>
  <si>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</si>
  <si>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</si>
  <si>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</si>
  <si>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</si>
  <si>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</si>
  <si>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</si>
  <si>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</si>
  <si>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</si>
  <si>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</si>
  <si>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</si>
  <si>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</si>
  <si>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</si>
  <si>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</si>
  <si>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</si>
  <si>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</si>
  <si>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</si>
  <si>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</si>
  <si>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</si>
  <si>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</si>
  <si>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</si>
  <si>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</si>
  <si>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</si>
  <si>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</si>
  <si>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</si>
  <si>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</si>
  <si>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</si>
  <si>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</si>
  <si>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</si>
  <si>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</si>
  <si>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</si>
  <si>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</si>
  <si>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</si>
  <si>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</si>
  <si>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</si>
  <si>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</si>
  <si>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</si>
  <si>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</si>
  <si>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</si>
  <si>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</si>
  <si>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</si>
  <si>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</si>
  <si>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</si>
  <si>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</si>
  <si>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</si>
  <si>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</si>
  <si>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</si>
  <si>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</si>
  <si>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</si>
  <si>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</si>
  <si>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</si>
  <si>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</si>
  <si>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</si>
  <si>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</si>
  <si>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</si>
  <si>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</si>
  <si>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</si>
  <si>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</si>
  <si>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</si>
  <si>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</si>
  <si>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</si>
  <si>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</si>
  <si>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</si>
  <si>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</si>
  <si>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</si>
  <si>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</si>
  <si>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</si>
  <si>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</si>
  <si>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</si>
  <si>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</si>
  <si>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</si>
  <si>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</si>
  <si>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</si>
  <si>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</si>
  <si>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</si>
  <si>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</si>
  <si>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</si>
  <si>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</si>
  <si>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</si>
  <si>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</si>
  <si>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</si>
  <si>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</si>
  <si>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</si>
  <si>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</si>
  <si>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</si>
  <si>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</si>
  <si>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</si>
  <si>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</si>
  <si>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</si>
  <si>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</si>
  <si>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</si>
  <si>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</si>
  <si>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</si>
  <si>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</si>
  <si>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</si>
  <si>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</si>
  <si>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</si>
  <si>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</si>
  <si>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</si>
  <si>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</si>
  <si>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</si>
  <si>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</si>
  <si>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</si>
  <si>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</si>
  <si>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</si>
  <si>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</si>
  <si>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</si>
  <si>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</si>
  <si>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</si>
  <si>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</si>
  <si>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</si>
  <si>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</si>
  <si>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</si>
  <si>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</si>
  <si>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</si>
  <si>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</si>
  <si>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</si>
  <si>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</si>
  <si>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</si>
  <si>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</si>
  <si>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</si>
  <si>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</si>
  <si>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</si>
  <si>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</si>
  <si>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</si>
  <si>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</si>
  <si>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</si>
  <si>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</si>
  <si>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</si>
  <si>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</si>
  <si>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</si>
  <si>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</si>
  <si>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</si>
  <si>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</si>
  <si>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</si>
  <si>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</si>
  <si>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</si>
  <si>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</si>
  <si>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</si>
  <si>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</si>
  <si>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</si>
  <si>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</si>
  <si>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</si>
  <si>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</si>
  <si>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</si>
  <si>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</si>
  <si>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</si>
  <si>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</si>
  <si>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</si>
  <si>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</si>
  <si>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</si>
  <si>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</si>
  <si>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</si>
  <si>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</si>
  <si>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</si>
  <si>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</si>
  <si>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</si>
  <si>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</si>
  <si>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</si>
  <si>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</si>
  <si>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</si>
  <si>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</si>
  <si>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</si>
  <si>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</si>
  <si>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</si>
  <si>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</si>
  <si>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</si>
  <si>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</si>
  <si>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</si>
  <si>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</si>
  <si>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</si>
  <si>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</si>
  <si>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</si>
  <si>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</si>
  <si>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</si>
  <si>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</si>
  <si>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</si>
  <si>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</si>
  <si>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</si>
  <si>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</si>
  <si>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</si>
  <si>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</si>
  <si>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</si>
  <si>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</si>
  <si>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</si>
  <si>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</si>
  <si>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</si>
  <si>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</si>
  <si>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</si>
  <si>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</si>
  <si>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</si>
  <si>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</si>
  <si>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</si>
  <si>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</si>
  <si>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</si>
  <si>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</si>
  <si>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</si>
  <si>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</si>
  <si>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</si>
  <si>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</si>
  <si>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</si>
  <si>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</si>
  <si>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</si>
  <si>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</si>
  <si>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</si>
  <si>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</si>
  <si>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</si>
  <si>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</si>
  <si>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</si>
  <si>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</si>
  <si>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</si>
  <si>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</si>
  <si>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</si>
  <si>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</si>
  <si>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</si>
  <si>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</si>
  <si>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</si>
  <si>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</si>
  <si>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</si>
  <si>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</si>
  <si>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</si>
  <si>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</si>
  <si>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</si>
  <si>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</si>
  <si>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</si>
  <si>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</si>
  <si>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</si>
  <si>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</si>
  <si>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</si>
  <si>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</si>
  <si>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</si>
  <si>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</si>
  <si>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</si>
  <si>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</si>
  <si>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</si>
  <si>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</si>
  <si>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</si>
  <si>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</si>
  <si>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</si>
  <si>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</si>
  <si>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</si>
  <si>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</si>
  <si>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</si>
  <si>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</si>
  <si>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</si>
  <si>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</si>
  <si>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</si>
  <si>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</si>
  <si>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</si>
  <si>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</si>
  <si>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</si>
  <si>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</si>
  <si>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</si>
  <si>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</si>
  <si>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</si>
  <si>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</si>
  <si>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</si>
  <si>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</si>
  <si>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</si>
  <si>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</si>
  <si>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</si>
  <si>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</si>
  <si>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</si>
  <si>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</si>
  <si>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</si>
  <si>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</si>
  <si>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</si>
  <si>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</si>
  <si>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</si>
  <si>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</si>
  <si>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</si>
  <si>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</si>
  <si>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</si>
  <si>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</si>
  <si>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</si>
  <si>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</si>
  <si>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</si>
  <si>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</si>
  <si>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</si>
  <si>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</si>
  <si>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</si>
  <si>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</si>
  <si>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</si>
  <si>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</si>
  <si>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</si>
  <si>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</si>
  <si>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</si>
  <si>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</si>
  <si>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</si>
  <si>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</si>
  <si>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</si>
  <si>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</si>
  <si>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</si>
  <si>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</si>
  <si>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</si>
  <si>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</si>
  <si>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</si>
  <si>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</si>
  <si>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</si>
  <si>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</si>
  <si>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</si>
  <si>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</si>
  <si>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</si>
  <si>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</si>
  <si>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</si>
  <si>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</si>
  <si>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</si>
  <si>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</si>
  <si>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</si>
  <si>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</si>
  <si>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</si>
  <si>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</si>
  <si>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</si>
  <si>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</si>
  <si>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</si>
  <si>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</si>
  <si>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</si>
  <si>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</si>
  <si>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</si>
  <si>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</si>
  <si>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</si>
  <si>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</si>
  <si>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</si>
  <si>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</si>
  <si>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</si>
  <si>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</si>
  <si>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</si>
  <si>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</si>
  <si>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</si>
  <si>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</si>
  <si>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</si>
  <si>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</si>
  <si>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</si>
  <si>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</si>
  <si>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</si>
  <si>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</si>
  <si>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</si>
  <si>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</si>
  <si>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</si>
  <si>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</si>
  <si>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</si>
  <si>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</si>
  <si>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</si>
  <si>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</si>
  <si>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</si>
  <si>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</si>
  <si>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</si>
  <si>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</si>
  <si>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</si>
  <si>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</si>
  <si>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</si>
  <si>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</si>
  <si>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</si>
  <si>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</si>
  <si>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</si>
  <si>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</si>
  <si>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</si>
  <si>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</si>
  <si>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</si>
  <si>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</si>
  <si>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</si>
  <si>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</si>
  <si>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</si>
  <si>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</si>
  <si>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</si>
  <si>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</si>
  <si>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</si>
  <si>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</si>
  <si>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</si>
  <si>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</si>
  <si>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</si>
  <si>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</si>
  <si>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</si>
  <si>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</si>
  <si>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</si>
  <si>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</si>
  <si>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</si>
  <si>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</si>
  <si>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</si>
  <si>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</si>
  <si>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</si>
  <si>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</si>
  <si>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</si>
  <si>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</si>
  <si>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</si>
  <si>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</si>
  <si>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</si>
  <si>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</si>
  <si>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</si>
  <si>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</si>
  <si>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</si>
  <si>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</si>
  <si>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</si>
  <si>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</si>
  <si>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</si>
  <si>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</si>
  <si>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</si>
  <si>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</si>
  <si>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</si>
  <si>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</si>
  <si>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</si>
  <si>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</si>
  <si>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</si>
  <si>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</si>
  <si>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</si>
  <si>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</si>
  <si>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</si>
  <si>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</si>
  <si>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</si>
  <si>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</si>
  <si>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</si>
  <si>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</si>
  <si>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</si>
  <si>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</si>
  <si>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</si>
  <si>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</si>
  <si>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</si>
  <si>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</si>
  <si>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</si>
  <si>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</si>
  <si>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</si>
  <si>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</si>
  <si>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</si>
  <si>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</si>
  <si>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</si>
  <si>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</si>
  <si>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</si>
  <si>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</si>
  <si>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</si>
  <si>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</si>
  <si>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</si>
  <si>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</si>
  <si>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</si>
  <si>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</si>
  <si>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</si>
  <si>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</si>
  <si>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</si>
  <si>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</si>
  <si>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</si>
  <si>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</si>
  <si>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</si>
  <si>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</si>
  <si>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</si>
  <si>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</si>
  <si>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</si>
  <si>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</si>
  <si>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</si>
  <si>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</si>
  <si>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</si>
  <si>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</si>
  <si>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</si>
  <si>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</si>
  <si>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</si>
  <si>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</si>
  <si>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</si>
  <si>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</si>
  <si>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</si>
  <si>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</si>
  <si>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</si>
  <si>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</si>
  <si>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</si>
  <si>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</si>
  <si>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</si>
  <si>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</si>
  <si>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</si>
  <si>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</si>
  <si>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</si>
  <si>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</si>
  <si>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</si>
  <si>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</si>
  <si>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</si>
  <si>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</si>
  <si>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</si>
  <si>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</si>
  <si>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</si>
  <si>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</si>
  <si>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</si>
  <si>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</si>
  <si>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</si>
  <si>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</si>
  <si>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</si>
  <si>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</si>
  <si>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</si>
  <si>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</si>
  <si>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</si>
  <si>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</si>
  <si>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</si>
  <si>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</si>
  <si>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</si>
  <si>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</si>
  <si>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</si>
  <si>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</si>
  <si>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</si>
  <si>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</si>
  <si>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</si>
  <si>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</si>
  <si>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</si>
  <si>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</si>
  <si>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</si>
  <si>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</si>
  <si>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</si>
  <si>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</si>
  <si>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</si>
  <si>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</si>
  <si>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</si>
  <si>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</si>
  <si>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</si>
  <si>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</si>
  <si>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</si>
  <si>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</si>
  <si>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</si>
  <si>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</si>
  <si>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</si>
  <si>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</si>
  <si>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</si>
  <si>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</si>
  <si>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</si>
  <si>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</si>
  <si>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</si>
  <si>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</si>
  <si>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</si>
  <si>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</si>
  <si>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</si>
  <si>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</si>
  <si>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</si>
  <si>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</si>
  <si>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</si>
  <si>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</si>
  <si>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</si>
  <si>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</si>
  <si>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</si>
  <si>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</si>
  <si>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</si>
  <si>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</si>
  <si>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</si>
  <si>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</si>
  <si>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</si>
  <si>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</si>
  <si>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</si>
  <si>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</si>
  <si>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</si>
  <si>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</si>
  <si>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</si>
  <si>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</si>
  <si>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</si>
  <si>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</si>
  <si>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</si>
  <si>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</si>
  <si>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</si>
  <si>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</si>
  <si>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</si>
  <si>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</si>
  <si>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</si>
  <si>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</si>
  <si>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</si>
  <si>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</si>
  <si>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</si>
  <si>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</si>
  <si>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</si>
  <si>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</si>
  <si>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</si>
  <si>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</si>
  <si>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</si>
  <si>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</si>
  <si>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</si>
  <si>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</si>
  <si>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</si>
  <si>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</si>
  <si>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</si>
  <si>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</si>
  <si>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</si>
  <si>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</si>
  <si>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</si>
  <si>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</si>
  <si>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</si>
  <si>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</si>
  <si>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</si>
  <si>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</si>
  <si>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</si>
  <si>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</si>
  <si>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</si>
  <si>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</si>
  <si>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</si>
  <si>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</si>
  <si>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</si>
  <si>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</si>
  <si>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</si>
  <si>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</si>
  <si>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</si>
  <si>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</si>
  <si>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</si>
  <si>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</si>
  <si>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</si>
  <si>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</si>
  <si>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</si>
  <si>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</si>
  <si>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</si>
  <si>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</si>
  <si>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</si>
  <si>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</si>
  <si>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</si>
  <si>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</si>
  <si>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</si>
  <si>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</si>
  <si>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</si>
  <si>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</si>
  <si>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</si>
  <si>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</si>
  <si>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</si>
  <si>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</si>
  <si>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</si>
  <si>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</si>
  <si>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</si>
  <si>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</si>
  <si>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</si>
  <si>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</si>
  <si>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</si>
  <si>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</si>
  <si>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</si>
  <si>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</si>
  <si>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</si>
  <si>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</si>
  <si>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</si>
  <si>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</si>
  <si>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</si>
  <si>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</si>
  <si>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</si>
  <si>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</si>
  <si>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</si>
  <si>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</si>
  <si>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</si>
  <si>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</si>
  <si>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</si>
  <si>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</si>
  <si>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</si>
  <si>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</si>
  <si>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</si>
  <si>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</si>
  <si>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</si>
  <si>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</si>
  <si>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</si>
  <si>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</si>
  <si>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</si>
  <si>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</si>
  <si>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</si>
  <si>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</si>
  <si>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</si>
  <si>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</si>
  <si>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</si>
  <si>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</si>
  <si>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</si>
  <si>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</si>
  <si>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</si>
  <si>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</si>
  <si>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</si>
  <si>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</si>
  <si>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</si>
  <si>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</si>
  <si>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</si>
  <si>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</si>
  <si>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</si>
  <si>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</si>
  <si>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</si>
  <si>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</si>
  <si>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</si>
  <si>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</si>
  <si>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</si>
  <si>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</si>
  <si>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</si>
  <si>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</si>
  <si>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</si>
  <si>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</si>
  <si>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</si>
  <si>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</si>
  <si>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</si>
  <si>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</si>
  <si>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</si>
  <si>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</si>
  <si>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</si>
  <si>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</si>
  <si>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</si>
  <si>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</si>
  <si>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</si>
  <si>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</si>
  <si>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</si>
  <si>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</si>
  <si>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</si>
  <si>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</si>
  <si>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</si>
  <si>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</si>
  <si>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</si>
  <si>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</si>
  <si>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</si>
  <si>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</si>
  <si>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</si>
  <si>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</si>
  <si>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</si>
  <si>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</si>
  <si>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</si>
  <si>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</si>
  <si>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</si>
  <si>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</si>
  <si>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</si>
  <si>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</si>
  <si>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</si>
  <si>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</si>
  <si>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</si>
  <si>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</si>
  <si>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</si>
  <si>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</si>
  <si>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</si>
  <si>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</si>
  <si>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</si>
  <si>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</si>
  <si>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</si>
  <si>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</si>
  <si>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</si>
  <si>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</si>
  <si>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</si>
  <si>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</si>
  <si>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</si>
  <si>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</si>
  <si>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</si>
  <si>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</si>
  <si>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</si>
  <si>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</si>
  <si>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</si>
  <si>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</si>
  <si>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</si>
  <si>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</si>
  <si>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</si>
  <si>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</si>
  <si>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</si>
  <si>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</si>
  <si>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</si>
  <si>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</si>
  <si>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</si>
  <si>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</si>
  <si>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</si>
  <si>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</si>
  <si>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</si>
  <si>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</si>
  <si>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</si>
  <si>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</si>
  <si>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</si>
  <si>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</si>
  <si>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</si>
  <si>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</si>
  <si>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</si>
  <si>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</si>
  <si>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</si>
  <si>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</si>
  <si>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</si>
  <si>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</si>
  <si>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</si>
  <si>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</si>
  <si>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</si>
  <si>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</si>
  <si>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</si>
  <si>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</si>
  <si>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</si>
  <si>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</si>
  <si>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</si>
  <si>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</si>
  <si>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</si>
  <si>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</si>
  <si>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</si>
  <si>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</si>
  <si>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</si>
  <si>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</si>
  <si>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</si>
  <si>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</si>
  <si>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</si>
  <si>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</si>
  <si>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</si>
  <si>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</si>
  <si>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</si>
  <si>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</si>
  <si>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</si>
  <si>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</si>
  <si>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</si>
  <si>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</si>
  <si>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</si>
  <si>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</si>
  <si>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</si>
  <si>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</si>
  <si>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</si>
  <si>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</si>
  <si>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</si>
  <si>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</si>
  <si>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</si>
  <si>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</si>
  <si>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</si>
  <si>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</si>
  <si>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</si>
  <si>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</si>
  <si>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</si>
  <si>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</si>
  <si>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</si>
  <si>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</si>
  <si>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</si>
  <si>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</si>
  <si>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</si>
  <si>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</si>
  <si>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</si>
  <si>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</si>
  <si>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</si>
  <si>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</si>
  <si>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</si>
  <si>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</si>
  <si>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</si>
  <si>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</si>
  <si>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</si>
  <si>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</si>
  <si>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</si>
  <si>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</si>
  <si>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</si>
  <si>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</si>
  <si>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</si>
  <si>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</si>
  <si>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</si>
  <si>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</si>
  <si>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</si>
  <si>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</si>
  <si>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</si>
  <si>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</si>
  <si>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</si>
  <si>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</si>
  <si>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</si>
  <si>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</si>
  <si>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</si>
  <si>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</si>
  <si>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</si>
  <si>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</si>
  <si>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</si>
  <si>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</si>
  <si>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</si>
  <si>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</si>
  <si>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</si>
  <si>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</si>
  <si>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</si>
  <si>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</si>
  <si>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</si>
  <si>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</si>
  <si>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</si>
  <si>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</si>
  <si>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</si>
  <si>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</si>
  <si>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</si>
  <si>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</si>
  <si>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</si>
  <si>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</si>
  <si>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</si>
  <si>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</si>
  <si>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</si>
  <si>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</si>
  <si>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</si>
  <si>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</si>
  <si>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</si>
  <si>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</si>
  <si>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</si>
  <si>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</si>
  <si>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</si>
  <si>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</si>
  <si>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</si>
  <si>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</si>
  <si>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</si>
  <si>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</si>
  <si>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</si>
  <si>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</si>
  <si>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</si>
  <si>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</si>
  <si>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</si>
  <si>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</si>
  <si>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</si>
  <si>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</si>
  <si>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</si>
  <si>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</si>
  <si>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</si>
  <si>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</si>
  <si>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</si>
  <si>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</si>
  <si>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</si>
  <si>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</si>
  <si>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</si>
  <si>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</si>
  <si>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</si>
  <si>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</si>
  <si>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</si>
  <si>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</si>
  <si>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</si>
  <si>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</si>
  <si>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</si>
  <si>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</si>
  <si>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</si>
  <si>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</si>
  <si>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</si>
  <si>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</si>
  <si>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</si>
  <si>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</si>
  <si>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</si>
  <si>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</si>
  <si>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</si>
  <si>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</si>
  <si>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</si>
  <si>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</si>
  <si>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</si>
  <si>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</si>
  <si>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</si>
  <si>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</si>
  <si>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</si>
  <si>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</si>
  <si>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</si>
  <si>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</si>
  <si>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</si>
  <si>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</si>
  <si>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</si>
  <si>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</si>
  <si>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</si>
  <si>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</si>
  <si>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</si>
  <si>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</si>
  <si>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</si>
  <si>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</si>
  <si>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</si>
  <si>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</si>
  <si>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</si>
  <si>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</si>
  <si>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</si>
  <si>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</si>
  <si>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</si>
  <si>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</si>
  <si>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</si>
  <si>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</si>
  <si>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</si>
  <si>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</si>
  <si>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</si>
  <si>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</si>
  <si>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</si>
  <si>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</si>
  <si>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</si>
  <si>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</si>
  <si>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</si>
  <si>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</si>
  <si>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</si>
  <si>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</si>
  <si>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</si>
  <si>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</si>
  <si>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</si>
  <si>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</si>
  <si>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</si>
  <si>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</si>
  <si>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</si>
  <si>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</si>
  <si>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</si>
  <si>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</si>
  <si>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</si>
  <si>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</si>
  <si>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</si>
  <si>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</si>
  <si>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</si>
  <si>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</si>
  <si>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</si>
  <si>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</si>
  <si>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</si>
  <si>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</si>
  <si>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</si>
  <si>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</si>
  <si>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</si>
  <si>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</si>
  <si>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</si>
  <si>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</si>
  <si>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</si>
  <si>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</si>
  <si>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</si>
  <si>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</si>
  <si>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</si>
  <si>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</si>
  <si>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</si>
  <si>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</si>
  <si>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</si>
  <si>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</si>
  <si>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</si>
  <si>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</si>
  <si>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</si>
  <si>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</si>
  <si>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</si>
  <si>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</si>
  <si>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</si>
  <si>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</si>
  <si>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</si>
  <si>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</si>
  <si>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</si>
  <si>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</si>
  <si>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</si>
  <si>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</si>
  <si>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</si>
  <si>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</si>
  <si>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</si>
  <si>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</si>
  <si>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</si>
  <si>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</si>
  <si>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</si>
  <si>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</si>
  <si>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</si>
  <si>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</si>
  <si>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</si>
  <si>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</si>
  <si>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</si>
  <si>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</si>
  <si>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</si>
  <si>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</si>
  <si>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</si>
  <si>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</si>
  <si>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</si>
  <si>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</si>
  <si>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</si>
  <si>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</si>
  <si>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</si>
  <si>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</si>
  <si>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</si>
  <si>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</si>
  <si>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</si>
  <si>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</si>
  <si>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</si>
  <si>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</si>
  <si>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</si>
  <si>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</si>
  <si>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</si>
  <si>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</si>
  <si>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</si>
  <si>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</si>
  <si>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</si>
  <si>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</si>
  <si>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</si>
  <si>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</si>
  <si>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</si>
  <si>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</si>
  <si>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</si>
  <si>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</si>
  <si>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</si>
  <si>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</si>
  <si>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</si>
  <si>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</si>
  <si>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</si>
  <si>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</si>
  <si>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</si>
  <si>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</si>
  <si>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</si>
  <si>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</si>
  <si>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</si>
  <si>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</si>
  <si>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</si>
  <si>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</si>
  <si>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</si>
  <si>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</si>
  <si>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</si>
  <si>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</si>
  <si>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</si>
  <si>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</si>
  <si>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</si>
  <si>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</si>
  <si>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</si>
  <si>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</si>
  <si>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</si>
  <si>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</si>
  <si>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</si>
  <si>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</si>
  <si>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</si>
  <si>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</si>
  <si>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</si>
  <si>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</si>
  <si>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</si>
  <si>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</si>
  <si>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</si>
  <si>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</si>
  <si>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</si>
  <si>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</si>
  <si>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</si>
  <si>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</si>
  <si>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</si>
  <si>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</si>
  <si>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</si>
  <si>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</si>
  <si>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</si>
  <si>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</si>
  <si>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</si>
  <si>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</si>
  <si>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</si>
  <si>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</si>
  <si>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</si>
  <si>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</si>
  <si>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</si>
  <si>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</si>
  <si>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</si>
  <si>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</si>
  <si>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</si>
  <si>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</si>
  <si>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</si>
  <si>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</si>
  <si>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</si>
  <si>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</si>
  <si>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</si>
  <si>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</si>
  <si>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</si>
  <si>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</si>
  <si>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</si>
  <si>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</si>
  <si>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</si>
  <si>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</si>
  <si>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</si>
  <si>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</si>
  <si>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</si>
  <si>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</si>
  <si>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</si>
  <si>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</si>
  <si>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</si>
  <si>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</si>
  <si>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</si>
  <si>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</si>
  <si>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</si>
  <si>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</si>
  <si>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</si>
  <si>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</si>
  <si>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</si>
  <si>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</si>
  <si>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</si>
  <si>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</si>
  <si>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</si>
  <si>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</si>
  <si>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</si>
  <si>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</si>
  <si>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</si>
  <si>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</si>
  <si>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</si>
  <si>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</si>
  <si>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</si>
  <si>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</si>
  <si>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</si>
  <si>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</si>
  <si>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</si>
  <si>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</si>
  <si>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</si>
  <si>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</si>
  <si>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</si>
  <si>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</si>
  <si>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</si>
  <si>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</si>
  <si>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</si>
  <si>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</si>
  <si>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</si>
  <si>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</si>
  <si>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</si>
  <si>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</si>
  <si>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</si>
  <si>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</si>
  <si>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</si>
  <si>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</si>
  <si>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</si>
  <si>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</si>
  <si>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</si>
  <si>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</si>
  <si>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</si>
  <si>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</si>
  <si>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</si>
  <si>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</si>
  <si>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</si>
  <si>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</si>
  <si>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</si>
  <si>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</si>
  <si>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</si>
  <si>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</si>
  <si>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</si>
  <si>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</si>
  <si>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</si>
  <si>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</si>
  <si>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</si>
  <si>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</si>
  <si>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</si>
  <si>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</si>
  <si>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</si>
  <si>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</si>
  <si>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</si>
  <si>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</si>
  <si>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</si>
  <si>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</si>
  <si>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</si>
  <si>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</si>
  <si>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</si>
  <si>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</si>
  <si>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</si>
  <si>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</si>
  <si>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</si>
  <si>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</si>
  <si>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</si>
  <si>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</si>
  <si>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</si>
  <si>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</si>
  <si>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</si>
  <si>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</si>
  <si>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</si>
  <si>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</si>
  <si>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</si>
  <si>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</si>
  <si>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</si>
  <si>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</si>
  <si>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</si>
  <si>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</si>
  <si>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</si>
  <si>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</si>
  <si>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</si>
  <si>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</si>
  <si>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</si>
  <si>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</si>
  <si>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</si>
  <si>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</si>
  <si>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</si>
  <si>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</si>
  <si>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</si>
  <si>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</si>
  <si>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</si>
  <si>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</si>
  <si>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</si>
  <si>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</si>
  <si>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</si>
  <si>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</si>
  <si>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</si>
  <si>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</si>
  <si>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</si>
  <si>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</si>
  <si>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</si>
  <si>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</si>
  <si>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</si>
  <si>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</si>
  <si>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</si>
  <si>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</si>
  <si>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</si>
  <si>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</si>
  <si>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</si>
  <si>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</si>
  <si>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</si>
  <si>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</si>
  <si>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</si>
  <si>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</si>
  <si>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</si>
  <si>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</si>
  <si>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</si>
  <si>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</si>
  <si>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</si>
  <si>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</si>
  <si>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</si>
  <si>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</si>
  <si>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</si>
  <si>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</si>
  <si>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</si>
  <si>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</si>
  <si>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</si>
  <si>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</si>
  <si>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</si>
  <si>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</si>
  <si>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</si>
  <si>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</si>
  <si>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</si>
  <si>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</si>
  <si>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</si>
  <si>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</si>
  <si>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</si>
  <si>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</si>
  <si>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</si>
  <si>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</si>
  <si>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</si>
  <si>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</si>
  <si>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</si>
  <si>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</si>
  <si>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</si>
  <si>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</si>
  <si>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</si>
  <si>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</si>
  <si>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</si>
  <si>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</si>
  <si>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</si>
  <si>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</si>
  <si>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</si>
  <si>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</si>
  <si>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</si>
  <si>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</si>
  <si>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</si>
  <si>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</si>
  <si>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</si>
  <si>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</si>
  <si>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</si>
  <si>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</si>
  <si>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</si>
  <si>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</si>
  <si>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</si>
  <si>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</si>
  <si>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</si>
  <si>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</si>
  <si>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</si>
  <si>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</si>
  <si>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</si>
  <si>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</si>
  <si>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</si>
  <si>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</si>
  <si>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</si>
  <si>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</si>
  <si>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</si>
  <si>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</si>
  <si>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</si>
  <si>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</si>
  <si>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</si>
  <si>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</si>
  <si>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</si>
  <si>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</si>
  <si>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</si>
  <si>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</si>
  <si>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</si>
  <si>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</si>
  <si>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</si>
  <si>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</si>
  <si>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</si>
  <si>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</si>
  <si>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</si>
  <si>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</si>
  <si>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</si>
  <si>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</si>
  <si>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</si>
  <si>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</si>
  <si>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</si>
  <si>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</si>
  <si>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</si>
  <si>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</si>
  <si>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</si>
  <si>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</si>
  <si>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</si>
  <si>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</si>
  <si>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</si>
  <si>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</si>
  <si>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</si>
  <si>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</si>
  <si>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</si>
  <si>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</si>
  <si>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</si>
  <si>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</si>
  <si>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</si>
  <si>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</si>
  <si>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</si>
  <si>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</si>
  <si>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</si>
  <si>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</si>
  <si>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</si>
  <si>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</si>
  <si>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</si>
  <si>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</si>
  <si>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</si>
  <si>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</si>
  <si>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</si>
  <si>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</si>
  <si>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</si>
  <si>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</si>
  <si>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</si>
  <si>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</si>
  <si>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</si>
  <si>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</si>
  <si>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</si>
  <si>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</si>
  <si>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</si>
  <si>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</si>
  <si>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</si>
  <si>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</si>
  <si>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</si>
  <si>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</si>
  <si>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</si>
  <si>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</si>
  <si>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</si>
  <si>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</si>
  <si>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</si>
  <si>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</si>
  <si>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</si>
  <si>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</si>
  <si>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</si>
  <si>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</si>
  <si>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</si>
  <si>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</si>
  <si>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</si>
  <si>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</si>
  <si>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</si>
  <si>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</si>
  <si>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</si>
  <si>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</si>
  <si>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</si>
  <si>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</si>
  <si>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</si>
  <si>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</si>
  <si>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</si>
  <si>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</si>
  <si>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</si>
  <si>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</si>
  <si>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</si>
  <si>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</si>
  <si>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</si>
  <si>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</si>
  <si>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</si>
  <si>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</si>
  <si>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</si>
  <si>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</si>
  <si>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</si>
  <si>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</si>
  <si>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</si>
  <si>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</si>
  <si>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</si>
  <si>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</si>
  <si>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</si>
  <si>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</si>
  <si>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</si>
  <si>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</si>
  <si>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</si>
  <si>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</si>
  <si>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</si>
  <si>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</si>
  <si>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</si>
  <si>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</si>
  <si>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</si>
  <si>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</si>
  <si>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</si>
  <si>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</si>
  <si>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</si>
  <si>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</si>
  <si>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</si>
  <si>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</si>
  <si>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</si>
  <si>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</si>
  <si>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</si>
  <si>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</si>
  <si>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</si>
  <si>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</si>
  <si>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</si>
  <si>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</si>
  <si>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</si>
  <si>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</si>
  <si>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</si>
  <si>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</si>
  <si>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</si>
  <si>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</si>
  <si>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</si>
  <si>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</si>
  <si>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</si>
  <si>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</si>
  <si>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</si>
  <si>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</si>
  <si>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</si>
  <si>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</si>
  <si>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</si>
  <si>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</si>
  <si>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</si>
  <si>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</si>
  <si>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</si>
  <si>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</si>
  <si>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</si>
  <si>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</si>
  <si>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</si>
  <si>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</si>
  <si>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</si>
  <si>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</si>
  <si>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</si>
  <si>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</si>
  <si>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</si>
  <si>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</si>
  <si>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</si>
  <si>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</si>
  <si>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</si>
  <si>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</si>
  <si>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</si>
  <si>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</si>
  <si>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</si>
  <si>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</si>
  <si>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</si>
  <si>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</si>
  <si>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</si>
  <si>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</si>
  <si>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</si>
  <si>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</si>
  <si>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</si>
  <si>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</si>
  <si>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</si>
  <si>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</si>
  <si>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</si>
  <si>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</si>
  <si>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</si>
  <si>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</si>
  <si>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</si>
  <si>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</si>
  <si>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</si>
  <si>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</si>
  <si>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</si>
  <si>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</si>
  <si>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</si>
  <si>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</si>
  <si>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</si>
  <si>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</si>
  <si>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</si>
  <si>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</si>
  <si>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</si>
  <si>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</si>
  <si>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</si>
  <si>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</si>
  <si>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</si>
  <si>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</si>
  <si>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</si>
  <si>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</si>
  <si>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</si>
  <si>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</si>
  <si>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</si>
  <si>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</si>
  <si>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</si>
  <si>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</si>
  <si>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</si>
  <si>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</si>
  <si>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</si>
  <si>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</si>
  <si>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</si>
  <si>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</si>
  <si>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</si>
  <si>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</si>
  <si>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</si>
  <si>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</si>
  <si>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</si>
  <si>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</si>
  <si>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</si>
  <si>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</si>
  <si>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</si>
  <si>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</si>
  <si>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</si>
  <si>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</si>
  <si>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</si>
  <si>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</si>
  <si>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</si>
  <si>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</si>
  <si>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</si>
  <si>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</si>
  <si>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</si>
  <si>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</si>
  <si>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</si>
  <si>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</si>
  <si>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</si>
  <si>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</si>
  <si>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</si>
  <si>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</si>
  <si>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</si>
  <si>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</si>
  <si>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</si>
  <si>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</si>
  <si>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</si>
  <si>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</si>
  <si>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</si>
  <si>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</si>
  <si>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</si>
  <si>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</si>
  <si>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</si>
  <si>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</si>
  <si>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</si>
  <si>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</si>
  <si>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</si>
  <si>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</si>
  <si>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</si>
  <si>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</si>
  <si>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</si>
  <si>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</si>
  <si>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</si>
  <si>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</si>
  <si>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</si>
  <si>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</si>
  <si>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</si>
  <si>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</si>
  <si>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</si>
  <si>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</si>
  <si>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</si>
  <si>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</si>
  <si>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</si>
  <si>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</si>
  <si>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</si>
  <si>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</si>
  <si>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</si>
  <si>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</si>
  <si>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</si>
  <si>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</si>
  <si>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</si>
  <si>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</si>
  <si>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</si>
  <si>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</si>
  <si>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</si>
  <si>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</si>
  <si>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</si>
  <si>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</si>
  <si>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</si>
  <si>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</si>
  <si>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</si>
  <si>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</si>
  <si>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</si>
  <si>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</si>
  <si>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</si>
  <si>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</si>
  <si>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</si>
  <si>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</si>
  <si>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</si>
  <si>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</si>
  <si>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</si>
  <si>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</si>
  <si>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</si>
  <si>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</si>
  <si>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</si>
  <si>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</si>
  <si>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</si>
  <si>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</si>
  <si>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</si>
  <si>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</si>
  <si>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</si>
  <si>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</si>
  <si>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</si>
  <si>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</si>
  <si>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</si>
  <si>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</si>
  <si>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</si>
  <si>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</si>
  <si>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</si>
  <si>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</si>
  <si>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</si>
  <si>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</si>
  <si>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</si>
  <si>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</si>
  <si>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</si>
  <si>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</si>
  <si>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</si>
  <si>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</si>
  <si>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</si>
  <si>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</si>
  <si>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</si>
  <si>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</si>
  <si>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</si>
  <si>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</si>
  <si>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</si>
  <si>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</si>
  <si>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</si>
  <si>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</si>
  <si>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</si>
  <si>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</si>
  <si>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</si>
  <si>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</si>
  <si>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</si>
  <si>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</si>
  <si>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</si>
  <si>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</si>
  <si>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</si>
  <si>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</si>
  <si>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</si>
  <si>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</si>
  <si>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</si>
  <si>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</si>
  <si>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</si>
  <si>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</si>
  <si>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</si>
  <si>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</si>
  <si>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</si>
  <si>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</si>
  <si>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</si>
  <si>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</si>
  <si>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</si>
  <si>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</si>
  <si>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</si>
  <si>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</si>
  <si>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</si>
  <si>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</si>
  <si>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</si>
  <si>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</si>
  <si>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</si>
  <si>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</si>
  <si>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</si>
  <si>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</si>
  <si>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</si>
  <si>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</si>
  <si>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</si>
  <si>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</si>
  <si>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</si>
  <si>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</si>
  <si>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</si>
  <si>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</si>
  <si>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</si>
  <si>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</si>
  <si>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</si>
  <si>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</si>
  <si>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</si>
  <si>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</si>
  <si>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</si>
  <si>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</si>
  <si>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</si>
  <si>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</si>
  <si>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</si>
  <si>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</si>
  <si>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</si>
  <si>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</si>
  <si>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</si>
  <si>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</si>
  <si>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</si>
  <si>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</si>
  <si>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</si>
  <si>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</si>
  <si>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</si>
  <si>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</si>
  <si>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</si>
  <si>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</si>
  <si>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</si>
  <si>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</si>
  <si>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</si>
  <si>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</si>
  <si>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</si>
  <si>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</si>
  <si>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</si>
  <si>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</si>
  <si>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</si>
  <si>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</si>
  <si>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</si>
  <si>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</si>
  <si>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</si>
  <si>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</si>
  <si>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</si>
  <si>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</si>
  <si>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</si>
  <si>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</si>
  <si>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</si>
  <si>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</si>
  <si>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</si>
  <si>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</si>
  <si>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</si>
  <si>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</si>
  <si>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</si>
  <si>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</si>
  <si>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</si>
  <si>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</si>
  <si>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</si>
  <si>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</si>
  <si>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</si>
  <si>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</si>
  <si>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</si>
  <si>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</si>
  <si>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</si>
  <si>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</si>
  <si>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</si>
  <si>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</si>
  <si>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</si>
  <si>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</si>
  <si>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</si>
  <si>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</si>
  <si>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</si>
  <si>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</si>
  <si>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</si>
  <si>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</si>
  <si>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</si>
  <si>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</si>
  <si>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</si>
  <si>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</si>
  <si>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</si>
  <si>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</si>
  <si>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</si>
  <si>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</si>
  <si>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</si>
  <si>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</si>
  <si>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</si>
  <si>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</si>
  <si>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</si>
  <si>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</si>
  <si>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</si>
  <si>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</si>
  <si>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</si>
  <si>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</si>
  <si>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</si>
  <si>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</si>
  <si>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</si>
  <si>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</si>
  <si>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</si>
  <si>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</si>
  <si>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</si>
  <si>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</si>
  <si>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</si>
  <si>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</si>
  <si>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</si>
  <si>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</si>
  <si>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</si>
  <si>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</si>
  <si>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</si>
  <si>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</si>
  <si>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</si>
  <si>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</si>
  <si>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</si>
  <si>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</si>
  <si>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</si>
  <si>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</si>
  <si>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</si>
  <si>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</si>
  <si>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</si>
  <si>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</si>
  <si>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</si>
  <si>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</si>
  <si>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</si>
  <si>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</si>
  <si>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</si>
  <si>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</si>
  <si>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</si>
  <si>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</si>
  <si>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</si>
  <si>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</si>
  <si>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</si>
  <si>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</si>
  <si>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</si>
  <si>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</si>
  <si>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</si>
  <si>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</si>
  <si>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</si>
  <si>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</si>
  <si>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</si>
  <si>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</si>
  <si>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</si>
  <si>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</si>
  <si>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</si>
  <si>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</si>
  <si>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</si>
  <si>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</si>
  <si>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</si>
  <si>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</si>
  <si>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</si>
  <si>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</si>
  <si>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</si>
  <si>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</si>
  <si>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</si>
  <si>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</si>
  <si>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</si>
  <si>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</si>
  <si>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</si>
  <si>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</si>
  <si>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</si>
  <si>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</si>
  <si>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</si>
  <si>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</si>
  <si>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</si>
  <si>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</si>
  <si>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</si>
  <si>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</si>
  <si>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</si>
  <si>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</si>
  <si>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</si>
  <si>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</si>
  <si>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</si>
  <si>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</si>
  <si>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</si>
  <si>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</si>
  <si>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</si>
  <si>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</si>
  <si>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</si>
  <si>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</si>
  <si>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</si>
  <si>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</si>
  <si>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</si>
  <si>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</si>
  <si>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</si>
  <si>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</si>
  <si>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</si>
  <si>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</si>
  <si>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</si>
  <si>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</si>
  <si>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</si>
  <si>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</si>
  <si>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</si>
  <si>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</si>
  <si>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</si>
  <si>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</si>
  <si>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</si>
  <si>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</si>
  <si>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</si>
  <si>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</si>
  <si>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</si>
  <si>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</si>
  <si>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</si>
  <si>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</si>
  <si>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</si>
  <si>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</si>
  <si>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</si>
  <si>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</si>
  <si>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</si>
  <si>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</si>
  <si>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</si>
  <si>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</si>
  <si>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</si>
  <si>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</si>
  <si>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</si>
  <si>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</si>
  <si>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</si>
  <si>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</si>
  <si>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</si>
  <si>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</si>
  <si>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</si>
  <si>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</si>
  <si>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</si>
  <si>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</si>
  <si>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</si>
  <si>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</si>
  <si>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</si>
  <si>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</si>
  <si>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</si>
  <si>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</si>
  <si>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</si>
  <si>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</si>
  <si>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</si>
  <si>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</si>
  <si>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</si>
  <si>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</si>
  <si>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</si>
  <si>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</si>
  <si>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</si>
  <si>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</si>
  <si>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</si>
  <si>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</si>
  <si>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</si>
  <si>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</si>
  <si>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</si>
  <si>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</si>
  <si>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</si>
  <si>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</si>
  <si>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</si>
  <si>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</si>
  <si>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</si>
  <si>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</si>
  <si>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</si>
  <si>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</si>
  <si>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</si>
  <si>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</si>
  <si>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</si>
  <si>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</si>
  <si>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</si>
  <si>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</si>
  <si>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</si>
  <si>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</si>
  <si>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</si>
  <si>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</si>
  <si>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</si>
  <si>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</si>
  <si>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</si>
  <si>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</si>
  <si>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</si>
  <si>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</si>
  <si>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</si>
  <si>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</si>
  <si>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</si>
  <si>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</si>
  <si>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</si>
  <si>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</si>
  <si>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</si>
  <si>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</si>
  <si>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</si>
  <si>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</si>
  <si>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</si>
  <si>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</si>
  <si>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</si>
  <si>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</si>
  <si>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</si>
  <si>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</si>
  <si>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</si>
  <si>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</si>
  <si>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</si>
  <si>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</si>
  <si>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</si>
  <si>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</si>
  <si>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</si>
  <si>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</si>
  <si>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</si>
  <si>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</si>
  <si>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</si>
  <si>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</si>
  <si>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</si>
  <si>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</si>
  <si>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</si>
  <si>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</si>
  <si>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</si>
  <si>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</si>
  <si>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</si>
  <si>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</si>
  <si>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</si>
  <si>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</si>
  <si>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</si>
  <si>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</si>
  <si>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</si>
  <si>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</si>
  <si>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</si>
  <si>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</si>
  <si>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</si>
  <si>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</si>
  <si>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</si>
  <si>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</si>
  <si>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</si>
  <si>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</si>
  <si>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</si>
  <si>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</si>
  <si>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</si>
  <si>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</si>
  <si>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</si>
  <si>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</si>
  <si>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</si>
  <si>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</si>
  <si>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</si>
  <si>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</si>
  <si>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</si>
  <si>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</si>
  <si>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</si>
  <si>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</si>
  <si>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</si>
  <si>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</si>
  <si>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</si>
  <si>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</si>
  <si>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</si>
  <si>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</si>
  <si>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</si>
  <si>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</si>
  <si>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</si>
  <si>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</si>
  <si>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</si>
  <si>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</si>
  <si>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</si>
  <si>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</si>
  <si>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</si>
  <si>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</si>
  <si>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</si>
  <si>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</si>
  <si>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</si>
  <si>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</si>
  <si>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</si>
  <si>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</si>
  <si>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</si>
  <si>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</si>
  <si>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</si>
  <si>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</si>
  <si>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</si>
  <si>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</si>
  <si>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</si>
  <si>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</si>
  <si>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</si>
  <si>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</si>
  <si>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</si>
  <si>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</si>
  <si>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</si>
  <si>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</si>
  <si>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</si>
  <si>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</si>
  <si>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</si>
  <si>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</si>
  <si>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</si>
  <si>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</si>
  <si>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</si>
  <si>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</si>
  <si>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</si>
  <si>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</si>
  <si>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</si>
  <si>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</si>
  <si>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</si>
  <si>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</si>
  <si>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</si>
  <si>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</si>
  <si>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</si>
  <si>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</si>
  <si>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</si>
  <si>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</si>
  <si>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</si>
  <si>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</si>
  <si>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</si>
  <si>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</si>
  <si>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</si>
  <si>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</si>
  <si>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</si>
  <si>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</si>
  <si>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</si>
  <si>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</si>
  <si>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</si>
  <si>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</si>
  <si>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</si>
  <si>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</si>
  <si>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</si>
  <si>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</si>
  <si>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</si>
  <si>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</si>
  <si>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</si>
  <si>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</si>
  <si>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</si>
  <si>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</si>
  <si>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</si>
  <si>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</si>
  <si>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</si>
  <si>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</si>
  <si>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</si>
  <si>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</si>
  <si>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</si>
  <si>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</si>
  <si>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</si>
  <si>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</si>
  <si>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</si>
  <si>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</si>
  <si>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</si>
  <si>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</si>
  <si>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</si>
  <si>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</si>
  <si>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</si>
  <si>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</si>
  <si>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</si>
  <si>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</si>
  <si>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</si>
  <si>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</si>
  <si>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</si>
  <si>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</si>
  <si>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</si>
  <si>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</si>
  <si>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</si>
  <si>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</si>
  <si>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</si>
  <si>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</si>
  <si>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</si>
  <si>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</si>
  <si>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</si>
  <si>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</si>
  <si>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</si>
  <si>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</si>
  <si>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</si>
  <si>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</si>
  <si>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</si>
  <si>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</si>
  <si>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</si>
  <si>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</si>
  <si>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</si>
  <si>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</si>
  <si>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</si>
  <si>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</si>
  <si>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</si>
  <si>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</si>
  <si>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</si>
  <si>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</si>
  <si>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</si>
  <si>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</si>
  <si>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</si>
  <si>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</si>
  <si>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</si>
  <si>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</si>
  <si>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</si>
  <si>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</si>
  <si>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</si>
  <si>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</si>
  <si>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</si>
  <si>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</si>
  <si>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</si>
  <si>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</si>
  <si>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</si>
  <si>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</si>
  <si>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</si>
  <si>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</si>
  <si>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</si>
  <si>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</si>
  <si>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</si>
  <si>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</si>
  <si>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</si>
  <si>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</si>
  <si>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</si>
  <si>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</si>
  <si>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</si>
  <si>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</si>
  <si>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</si>
  <si>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</si>
  <si>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</si>
  <si>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</si>
  <si>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</si>
  <si>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</si>
  <si>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</si>
  <si>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</si>
  <si>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</si>
  <si>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</si>
  <si>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</si>
  <si>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</si>
  <si>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</si>
  <si>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</si>
  <si>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</si>
  <si>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</si>
  <si>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</si>
  <si>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</si>
  <si>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</si>
  <si>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</si>
  <si>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</si>
  <si>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</si>
  <si>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</si>
  <si>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</si>
  <si>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</si>
  <si>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</si>
  <si>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</si>
  <si>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</si>
  <si>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</si>
  <si>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</si>
  <si>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</si>
  <si>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</si>
  <si>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</si>
  <si>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</si>
  <si>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</si>
  <si>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</si>
  <si>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</si>
  <si>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</si>
  <si>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</si>
  <si>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</si>
  <si>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</si>
  <si>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</si>
  <si>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</si>
  <si>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</si>
  <si>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</si>
  <si>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</si>
  <si>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</si>
  <si>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</si>
  <si>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</si>
  <si>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</si>
  <si>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</si>
  <si>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</si>
  <si>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</si>
  <si>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</si>
  <si>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</si>
  <si>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</si>
  <si>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</si>
  <si>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</si>
  <si>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</si>
  <si>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</si>
  <si>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</si>
  <si>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</si>
  <si>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</si>
  <si>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</si>
  <si>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</si>
  <si>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</si>
  <si>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</si>
  <si>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</si>
  <si>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741510</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</si>
  <si>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</si>
  <si>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</si>
  <si>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</si>
  <si>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</si>
  <si>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</si>
  <si>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</si>
  <si>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</si>
  <si>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</si>
  <si>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</si>
  <si>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</si>
  <si>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</si>
  <si>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</si>
  <si>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</si>
  <si>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</si>
  <si>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</si>
  <si>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</si>
  <si>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</si>
  <si>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</si>
  <si>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</si>
  <si>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</si>
  <si>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</si>
  <si>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</si>
  <si>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</si>
  <si>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</si>
  <si>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</si>
  <si>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</si>
  <si>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</si>
  <si>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</si>
  <si>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</si>
  <si>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</si>
  <si>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</si>
  <si>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</si>
  <si>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</si>
  <si>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</si>
  <si>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</si>
  <si>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</si>
  <si>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</si>
  <si>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741560</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</si>
  <si>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</si>
  <si>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</si>
  <si>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</si>
  <si>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</si>
  <si>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</si>
  <si>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</si>
  <si>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</si>
  <si>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</si>
  <si>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</si>
  <si>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</si>
  <si>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</si>
  <si>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</si>
  <si>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</si>
  <si>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</si>
  <si>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</si>
  <si>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</si>
  <si>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</si>
  <si>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</si>
  <si>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</si>
  <si>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</si>
  <si>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</si>
  <si>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</si>
  <si>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</si>
  <si>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</si>
  <si>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</si>
  <si>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</si>
  <si>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</si>
  <si>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</si>
  <si>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</si>
  <si>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</si>
  <si>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</si>
  <si>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</si>
  <si>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</si>
  <si>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</si>
  <si>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</si>
  <si>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</si>
  <si>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</si>
  <si>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</si>
  <si>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</si>
  <si>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</si>
  <si>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</si>
  <si>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</si>
  <si>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</si>
  <si>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</si>
  <si>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</si>
  <si>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</si>
  <si>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</si>
  <si>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</si>
  <si>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</si>
  <si>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</si>
  <si>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</si>
  <si>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</si>
  <si>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</si>
  <si>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</si>
  <si>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</si>
  <si>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</si>
  <si>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</si>
  <si>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</si>
  <si>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</si>
  <si>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</si>
  <si>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</si>
  <si>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</si>
  <si>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</si>
  <si>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</si>
  <si>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</si>
  <si>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</si>
  <si>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</si>
  <si>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</si>
  <si>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</si>
  <si>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</si>
  <si>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</si>
  <si>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</si>
  <si>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</si>
  <si>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</si>
  <si>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</si>
  <si>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</si>
  <si>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</si>
  <si>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</si>
  <si>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</si>
  <si>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</si>
  <si>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</si>
  <si>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</si>
  <si>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</si>
  <si>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</si>
  <si>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</si>
  <si>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</si>
  <si>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</si>
  <si>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</si>
  <si>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</si>
  <si>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</si>
  <si>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</si>
  <si>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</si>
  <si>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</si>
  <si>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</si>
  <si>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</si>
  <si>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</si>
  <si>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</si>
  <si>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</si>
  <si>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</si>
  <si>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</si>
  <si>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</si>
  <si>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</si>
  <si>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</si>
  <si>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</si>
  <si>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</si>
  <si>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</si>
  <si>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</si>
  <si>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</si>
  <si>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</si>
  <si>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</si>
  <si>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</si>
  <si>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</si>
  <si>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</si>
  <si>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</si>
  <si>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</si>
  <si>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</si>
  <si>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</si>
  <si>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</si>
  <si>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</si>
  <si>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</si>
  <si>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</si>
  <si>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</si>
  <si>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</si>
  <si>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</si>
  <si>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</si>
  <si>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</si>
  <si>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</si>
  <si>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</si>
  <si>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</si>
  <si>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</si>
  <si>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</si>
  <si>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</si>
  <si>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</si>
  <si>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</si>
  <si>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</si>
  <si>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</si>
  <si>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</si>
  <si>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</si>
  <si>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</si>
  <si>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</si>
  <si>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</si>
  <si>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</si>
  <si>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</si>
  <si>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</si>
  <si>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</si>
  <si>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</si>
  <si>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</si>
  <si>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</si>
  <si>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</si>
  <si>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</si>
  <si>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</si>
  <si>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</si>
  <si>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</si>
  <si>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</si>
  <si>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</si>
  <si>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</si>
  <si>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</si>
  <si>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</si>
  <si>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</si>
  <si>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</si>
  <si>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</si>
  <si>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</si>
  <si>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</si>
  <si>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</si>
  <si>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</si>
  <si>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</si>
  <si>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</si>
  <si>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</si>
  <si>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</si>
  <si>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</si>
  <si>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</si>
  <si>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</si>
  <si>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</si>
  <si>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</si>
  <si>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</si>
  <si>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</si>
  <si>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</si>
  <si>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</si>
  <si>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</si>
  <si>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</si>
  <si>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</si>
  <si>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</si>
  <si>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</si>
  <si>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</si>
  <si>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</si>
  <si>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</si>
  <si>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</si>
  <si>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</si>
  <si>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</si>
  <si>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</si>
  <si>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</si>
  <si>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</si>
  <si>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</si>
  <si>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</si>
  <si>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</si>
  <si>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</si>
  <si>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</si>
  <si>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</si>
  <si>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</si>
  <si>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</si>
  <si>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</si>
  <si>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</si>
  <si>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</si>
  <si>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</si>
  <si>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</si>
  <si>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</si>
  <si>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</si>
  <si>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</si>
  <si>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</si>
  <si>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</si>
  <si>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</si>
  <si>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</si>
  <si>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</si>
  <si>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</si>
  <si>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</si>
  <si>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</si>
  <si>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</si>
  <si>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</si>
  <si>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</si>
  <si>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</si>
  <si>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</si>
  <si>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</si>
  <si>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</si>
  <si>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</si>
  <si>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</si>
  <si>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</si>
  <si>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</si>
  <si>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</si>
  <si>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</si>
  <si>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</si>
  <si>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</si>
  <si>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</si>
  <si>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</si>
  <si>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</si>
  <si>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</si>
  <si>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</si>
  <si>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</si>
  <si>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</si>
  <si>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</si>
  <si>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</si>
  <si>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</si>
  <si>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</si>
  <si>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</si>
  <si>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</si>
  <si>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</si>
  <si>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</si>
  <si>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</si>
  <si>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</si>
  <si>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</si>
  <si>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</si>
  <si>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</si>
  <si>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</si>
  <si>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</si>
  <si>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</si>
  <si>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</si>
  <si>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</si>
  <si>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</si>
  <si>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</si>
  <si>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</si>
  <si>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</si>
  <si>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</si>
  <si>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</si>
  <si>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</si>
  <si>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</si>
  <si>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</si>
  <si>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</si>
  <si>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</si>
  <si>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</si>
  <si>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</si>
  <si>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</si>
  <si>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</si>
  <si>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</si>
  <si>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</si>
  <si>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</si>
  <si>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</si>
  <si>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</si>
  <si>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</si>
  <si>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</si>
  <si>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</si>
  <si>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</si>
  <si>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</si>
  <si>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</si>
  <si>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</si>
  <si>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</si>
  <si>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</si>
  <si>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</si>
  <si>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</si>
  <si>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</si>
  <si>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</si>
  <si>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</si>
  <si>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</si>
  <si>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</si>
  <si>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</si>
  <si>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</si>
  <si>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</si>
  <si>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</si>
  <si>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</si>
  <si>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</si>
  <si>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</si>
  <si>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</si>
  <si>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</si>
  <si>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</si>
  <si>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</si>
  <si>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</si>
  <si>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</si>
  <si>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</si>
  <si>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</si>
  <si>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</si>
  <si>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</si>
  <si>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</si>
  <si>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</si>
  <si>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</si>
  <si>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</si>
  <si>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</si>
  <si>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</si>
  <si>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</si>
  <si>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</si>
  <si>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</si>
  <si>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</si>
  <si>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</si>
  <si>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</si>
  <si>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</si>
  <si>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</si>
  <si>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</si>
  <si>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</si>
  <si>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</si>
  <si>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</si>
  <si>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</si>
  <si>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</si>
  <si>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</si>
  <si>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</si>
  <si>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</si>
  <si>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</si>
  <si>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</si>
  <si>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</si>
  <si>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</si>
  <si>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</si>
  <si>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</si>
  <si>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</si>
  <si>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</si>
  <si>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</si>
  <si>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</si>
  <si>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</si>
  <si>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</si>
  <si>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</si>
  <si>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</si>
  <si>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</si>
  <si>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</si>
  <si>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</si>
  <si>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</si>
  <si>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</si>
  <si>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</si>
  <si>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</si>
  <si>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</si>
  <si>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</si>
  <si>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</si>
  <si>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</si>
  <si>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</si>
  <si>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</si>
  <si>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</si>
  <si>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</si>
  <si>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</si>
  <si>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</si>
  <si>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</si>
  <si>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</si>
  <si>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</si>
  <si>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</si>
  <si>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</si>
  <si>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</si>
  <si>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</si>
  <si>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</si>
  <si>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</si>
  <si>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</si>
  <si>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</si>
  <si>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</si>
  <si>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</si>
  <si>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</si>
  <si>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</si>
  <si>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</si>
  <si>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</si>
  <si>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</si>
  <si>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</si>
  <si>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</si>
  <si>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</si>
  <si>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</si>
  <si>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</si>
  <si>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</si>
  <si>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</si>
  <si>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</si>
  <si>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</si>
  <si>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</si>
  <si>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</si>
  <si>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</si>
  <si>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</si>
  <si>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</si>
  <si>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</si>
  <si>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</si>
  <si>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</si>
  <si>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</si>
  <si>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</si>
  <si>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</si>
  <si>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</si>
  <si>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</si>
  <si>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</si>
  <si>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</si>
  <si>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</si>
  <si>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</si>
  <si>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</si>
  <si>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</si>
  <si>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</si>
  <si>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</si>
  <si>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</si>
  <si>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</si>
  <si>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</si>
  <si>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</si>
  <si>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</si>
  <si>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</si>
  <si>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</si>
  <si>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</si>
  <si>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</si>
  <si>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</si>
  <si>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</si>
  <si>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</si>
  <si>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</si>
  <si>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</si>
  <si>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</si>
  <si>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</si>
  <si>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</si>
  <si>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</si>
  <si>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</si>
  <si>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</si>
  <si>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</si>
  <si>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</si>
  <si>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</si>
  <si>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</si>
  <si>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</si>
  <si>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</si>
  <si>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</si>
  <si>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</si>
  <si>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</si>
  <si>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</si>
  <si>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</si>
  <si>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</si>
  <si>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</si>
  <si>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</si>
  <si>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</si>
  <si>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</si>
  <si>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</si>
  <si>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</si>
  <si>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</si>
  <si>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</si>
  <si>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</si>
  <si>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</si>
  <si>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</si>
  <si>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</si>
  <si>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</si>
  <si>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</si>
  <si>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</si>
  <si>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</si>
  <si>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</si>
  <si>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</si>
  <si>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</si>
  <si>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</si>
  <si>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</si>
  <si>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</si>
  <si>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</si>
  <si>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</si>
  <si>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</si>
  <si>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</si>
  <si>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</si>
  <si>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</si>
  <si>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</si>
  <si>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</si>
  <si>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</si>
  <si>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</si>
  <si>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</si>
  <si>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</si>
  <si>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</si>
  <si>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</si>
  <si>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</si>
  <si>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</si>
  <si>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</si>
  <si>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</si>
  <si>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</si>
  <si>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</si>
  <si>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</si>
  <si>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</si>
  <si>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</si>
  <si>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</si>
  <si>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</si>
  <si>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</si>
  <si>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</si>
  <si>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</si>
  <si>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</si>
  <si>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</si>
  <si>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</si>
  <si>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</si>
  <si>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</si>
  <si>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</si>
  <si>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</si>
  <si>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</si>
  <si>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</si>
  <si>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</si>
  <si>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</si>
  <si>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</si>
  <si>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</si>
  <si>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</si>
  <si>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</si>
  <si>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</si>
  <si>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</si>
  <si>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</si>
  <si>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</si>
  <si>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</si>
  <si>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</si>
  <si>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</si>
  <si>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</si>
  <si>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</si>
  <si>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</si>
  <si>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</si>
  <si>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</si>
  <si>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</si>
  <si>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</si>
  <si>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</si>
  <si>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</si>
  <si>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</si>
  <si>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</si>
  <si>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</si>
  <si>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</si>
  <si>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</si>
  <si>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</si>
  <si>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</si>
  <si>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</si>
  <si>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</si>
  <si>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</si>
  <si>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</si>
  <si>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</si>
  <si>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</si>
  <si>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</si>
  <si>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</si>
  <si>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</si>
  <si>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</si>
  <si>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</si>
  <si>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</si>
  <si>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</si>
  <si>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</si>
  <si>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</si>
  <si>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</si>
  <si>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</si>
  <si>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</si>
  <si>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</si>
  <si>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</si>
  <si>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</si>
  <si>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</si>
  <si>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</si>
  <si>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</si>
  <si>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</si>
  <si>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</si>
  <si>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</si>
  <si>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</si>
  <si>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</si>
  <si>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</si>
  <si>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</si>
  <si>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</si>
  <si>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</si>
  <si>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</si>
  <si>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</si>
  <si>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</si>
  <si>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</si>
  <si>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</si>
  <si>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</si>
  <si>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</si>
  <si>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</si>
  <si>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</si>
  <si>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</si>
  <si>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</si>
  <si>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</si>
  <si>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</si>
  <si>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</si>
  <si>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</si>
  <si>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</si>
  <si>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</si>
  <si>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</si>
  <si>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</si>
  <si>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</si>
  <si>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</si>
  <si>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</si>
  <si>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</si>
  <si>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</si>
  <si>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</si>
  <si>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</si>
  <si>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</si>
  <si>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</si>
  <si>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</si>
  <si>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</si>
  <si>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</si>
  <si>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</si>
  <si>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</si>
  <si>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</si>
  <si>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</si>
  <si>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</si>
  <si>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</si>
  <si>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</si>
  <si>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</si>
  <si>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</si>
  <si>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</si>
  <si>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</si>
  <si>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</si>
  <si>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</si>
  <si>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</si>
  <si>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</si>
  <si>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</si>
  <si>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</si>
  <si>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</si>
  <si>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</si>
  <si>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</si>
  <si>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</si>
  <si>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</si>
  <si>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</si>
  <si>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</si>
  <si>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</si>
  <si>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</si>
  <si>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</si>
  <si>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</si>
  <si>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</si>
  <si>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</si>
  <si>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</si>
  <si>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</si>
  <si>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</si>
  <si>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</si>
  <si>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</si>
  <si>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</si>
  <si>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</si>
  <si>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</si>
  <si>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</si>
  <si>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</si>
  <si>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</si>
  <si>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</si>
  <si>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</si>
  <si>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</si>
  <si>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</si>
  <si>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</si>
  <si>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</si>
  <si>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</si>
  <si>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</si>
  <si>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</si>
  <si>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</si>
  <si>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</si>
  <si>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</si>
  <si>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</si>
  <si>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</si>
  <si>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</si>
  <si>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</si>
  <si>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</si>
  <si>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</si>
  <si>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</si>
  <si>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</si>
  <si>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</si>
  <si>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</si>
  <si>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</si>
  <si>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</si>
  <si>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</si>
  <si>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</si>
  <si>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</si>
  <si>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</si>
  <si>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</si>
  <si>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</si>
  <si>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</si>
  <si>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</si>
  <si>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</si>
  <si>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</si>
  <si>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</si>
  <si>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</si>
  <si>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</si>
  <si>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</si>
  <si>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</si>
  <si>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</si>
  <si>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</si>
  <si>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</si>
  <si>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</si>
  <si>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</si>
  <si>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</si>
  <si>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</si>
  <si>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</si>
  <si>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</si>
  <si>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</si>
  <si>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</si>
  <si>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</si>
  <si>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</si>
  <si>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</si>
  <si>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</si>
  <si>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</si>
  <si>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</si>
  <si>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</si>
  <si>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</si>
  <si>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</si>
  <si>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</si>
  <si>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</si>
  <si>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</si>
  <si>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</si>
  <si>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</si>
  <si>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</si>
  <si>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</si>
  <si>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</si>
  <si>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</si>
  <si>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</si>
  <si>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</si>
  <si>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</si>
  <si>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</si>
  <si>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</si>
  <si>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</si>
  <si>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</si>
  <si>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</si>
  <si>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</si>
  <si>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</si>
  <si>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</si>
  <si>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</si>
  <si>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</si>
  <si>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</si>
  <si>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</si>
  <si>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</si>
  <si>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</si>
  <si>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</si>
  <si>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</si>
  <si>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</si>
  <si>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</si>
  <si>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</si>
  <si>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</si>
  <si>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</si>
  <si>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</si>
  <si>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</si>
  <si>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</si>
  <si>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</si>
  <si>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</si>
  <si>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</si>
  <si>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</si>
  <si>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</si>
  <si>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</si>
  <si>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</si>
  <si>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</si>
  <si>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</si>
  <si>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</si>
  <si>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</si>
  <si>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</si>
  <si>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</si>
  <si>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</si>
  <si>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</si>
  <si>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</si>
  <si>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</si>
  <si>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</si>
  <si>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</si>
  <si>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</si>
  <si>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</si>
  <si>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</si>
  <si>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</si>
  <si>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</si>
  <si>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</si>
  <si>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</si>
  <si>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</si>
  <si>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</si>
  <si>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</si>
  <si>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</si>
  <si>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</si>
  <si>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</si>
  <si>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</si>
  <si>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</si>
  <si>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</si>
  <si>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</si>
  <si>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</si>
  <si>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</si>
  <si>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</si>
  <si>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</si>
  <si>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</si>
  <si>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</si>
  <si>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</si>
  <si>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</si>
  <si>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</si>
  <si>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</si>
  <si>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</si>
  <si>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</si>
  <si>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</si>
  <si>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</si>
  <si>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</si>
  <si>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</si>
  <si>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</si>
  <si>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</si>
  <si>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</si>
  <si>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</si>
  <si>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</si>
  <si>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</si>
  <si>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</si>
  <si>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</si>
  <si>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</si>
  <si>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</si>
  <si>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</si>
  <si>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</si>
  <si>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</si>
  <si>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</si>
  <si>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</si>
  <si>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</si>
  <si>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</si>
  <si>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</si>
  <si>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</si>
  <si>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</si>
  <si>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</si>
  <si>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</si>
  <si>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</si>
  <si>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</si>
  <si>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</si>
  <si>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</si>
  <si>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</si>
  <si>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</si>
  <si>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</si>
  <si>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</si>
  <si>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</si>
  <si>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</si>
  <si>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</si>
  <si>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</si>
  <si>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</si>
  <si>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</si>
  <si>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</si>
  <si>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</si>
  <si>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</si>
  <si>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</si>
  <si>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</si>
  <si>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</si>
  <si>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</si>
  <si>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</si>
  <si>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</si>
  <si>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</si>
  <si>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</si>
  <si>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</si>
  <si>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</si>
  <si>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</si>
  <si>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</si>
  <si>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</si>
  <si>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</si>
  <si>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</si>
  <si>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</si>
  <si>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</si>
  <si>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</si>
  <si>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</si>
  <si>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</si>
  <si>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</si>
  <si>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</si>
  <si>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</si>
  <si>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</si>
  <si>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</si>
  <si>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</si>
  <si>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</si>
  <si>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</si>
  <si>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</si>
  <si>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</si>
  <si>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</si>
  <si>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</si>
  <si>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</si>
  <si>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</si>
  <si>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</si>
  <si>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</si>
  <si>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</si>
  <si>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</si>
  <si>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</si>
  <si>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</si>
  <si>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</si>
  <si>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</si>
  <si>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</si>
  <si>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</si>
  <si>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</si>
  <si>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</si>
  <si>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</si>
  <si>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</si>
  <si>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</si>
  <si>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</si>
  <si>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</si>
  <si>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</si>
  <si>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</si>
  <si>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</si>
  <si>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</si>
  <si>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</si>
  <si>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</si>
  <si>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</si>
  <si>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</si>
  <si>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</si>
  <si>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</si>
  <si>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</si>
  <si>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</si>
  <si>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</si>
  <si>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</si>
  <si>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</si>
  <si>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</si>
  <si>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</si>
  <si>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</si>
  <si>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</si>
  <si>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</si>
  <si>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</si>
  <si>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</si>
  <si>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</si>
  <si>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</si>
  <si>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</si>
  <si>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</si>
  <si>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</si>
  <si>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</si>
  <si>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</si>
  <si>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</si>
  <si>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</si>
  <si>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</si>
  <si>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</si>
  <si>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</si>
  <si>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</si>
  <si>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</si>
  <si>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</si>
  <si>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</si>
  <si>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</si>
  <si>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</si>
  <si>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</si>
  <si>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</si>
  <si>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</si>
  <si>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</si>
  <si>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</si>
  <si>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</si>
  <si>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</si>
  <si>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</si>
  <si>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</si>
  <si>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</si>
  <si>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</si>
  <si>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</si>
  <si>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</si>
  <si>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</si>
  <si>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</si>
  <si>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</si>
  <si>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Накнада за воде</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</si>
  <si>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</si>
  <si>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</si>
  <si>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</si>
  <si>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</si>
  <si>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</si>
  <si>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</si>
  <si>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</si>
  <si>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</si>
  <si>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</si>
  <si>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</si>
  <si>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</si>
  <si>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</si>
  <si>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</si>
  <si>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</si>
  <si>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</si>
  <si>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</si>
  <si>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</si>
  <si>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</si>
  <si>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</si>
  <si>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</si>
  <si>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</si>
  <si>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</si>
  <si>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</si>
  <si>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</si>
  <si>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</si>
  <si>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</si>
  <si>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</si>
  <si>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</si>
  <si>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</si>
  <si>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</si>
  <si>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</si>
  <si>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Екон. клас.</t>
  </si>
  <si>
    <t>ВРСТЕ РАСХОДА И ИЗДАТАКА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</si>
  <si>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</si>
  <si>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</si>
  <si>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</si>
  <si>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</si>
  <si>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</si>
  <si>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</si>
  <si>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</si>
  <si>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</si>
  <si>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</si>
  <si>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</si>
  <si>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</si>
  <si>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</si>
  <si>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</si>
  <si>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</si>
  <si>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</si>
  <si>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</si>
  <si>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</si>
  <si>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</si>
  <si>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</si>
  <si>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</si>
  <si>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</si>
  <si>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</si>
  <si>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</si>
  <si>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</si>
  <si>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</si>
  <si>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</si>
  <si>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</si>
  <si>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</si>
  <si>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</si>
  <si>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</si>
  <si>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</si>
  <si>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</si>
  <si>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</si>
  <si>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</si>
  <si>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</si>
  <si>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</si>
  <si>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</si>
  <si>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</si>
  <si>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</si>
  <si>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</si>
  <si>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</si>
  <si>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</si>
  <si>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</si>
  <si>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</si>
  <si>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</si>
  <si>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</si>
  <si>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</si>
  <si>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</si>
  <si>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Капитални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</si>
  <si>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</si>
  <si>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</si>
  <si>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</si>
  <si>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</si>
  <si>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</si>
  <si>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</si>
  <si>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</si>
  <si>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</si>
  <si>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</si>
  <si>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</si>
  <si>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</si>
  <si>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</si>
  <si>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</si>
  <si>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</si>
  <si>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</si>
  <si>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</si>
  <si>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</si>
  <si>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</si>
  <si>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</si>
  <si>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</si>
  <si>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</si>
  <si>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</si>
  <si>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</si>
  <si>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</si>
  <si>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</si>
  <si>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</si>
  <si>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</si>
  <si>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</si>
  <si>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</si>
  <si>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</si>
  <si>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</si>
  <si>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</si>
  <si>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</si>
  <si>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</si>
  <si>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</si>
  <si>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</si>
  <si>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</si>
  <si>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</si>
  <si>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</si>
  <si>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</si>
  <si>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</si>
  <si>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</si>
  <si>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</si>
  <si>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</si>
  <si>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</si>
  <si>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</si>
  <si>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</si>
  <si>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</si>
  <si>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</si>
  <si>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</si>
  <si>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</si>
  <si>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</si>
  <si>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</si>
  <si>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</si>
  <si>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</si>
  <si>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</si>
  <si>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</si>
  <si>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</si>
  <si>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</si>
  <si>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</si>
  <si>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</si>
  <si>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</si>
  <si>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</si>
  <si>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</si>
  <si>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</si>
  <si>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</si>
  <si>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</si>
  <si>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</si>
  <si>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</si>
  <si>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</si>
  <si>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</si>
  <si>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</si>
  <si>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</si>
  <si>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</si>
  <si>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</si>
  <si>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</si>
  <si>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</si>
  <si>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Извршни и законодавни органи, финансијски и фискални послови и спољни послови;</t>
  </si>
  <si>
    <t>111</t>
  </si>
  <si>
    <t>112</t>
  </si>
  <si>
    <t>113</t>
  </si>
  <si>
    <t>120</t>
  </si>
  <si>
    <t>Економска помоћ иностранству;</t>
  </si>
  <si>
    <t>121</t>
  </si>
  <si>
    <t>122</t>
  </si>
  <si>
    <t>130</t>
  </si>
  <si>
    <t>Опште услуге;</t>
  </si>
  <si>
    <t>131</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</si>
  <si>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</si>
  <si>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</si>
  <si>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</si>
  <si>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</si>
  <si>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</si>
  <si>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</si>
  <si>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</si>
  <si>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</si>
  <si>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</si>
  <si>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</si>
  <si>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</si>
  <si>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</si>
  <si>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</si>
  <si>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</si>
  <si>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</si>
  <si>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</si>
  <si>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</si>
  <si>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</si>
  <si>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</si>
  <si>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</si>
  <si>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</si>
  <si>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</si>
  <si>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</si>
  <si>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</si>
  <si>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</si>
  <si>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</si>
  <si>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</si>
  <si>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</si>
  <si>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</si>
  <si>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</si>
  <si>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</si>
  <si>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</si>
  <si>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</si>
  <si>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</si>
  <si>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</si>
  <si>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</si>
  <si>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</si>
  <si>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</si>
  <si>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</si>
  <si>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</si>
  <si>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</si>
  <si>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</si>
  <si>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</si>
  <si>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</si>
  <si>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</si>
  <si>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</si>
  <si>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</si>
  <si>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</si>
  <si>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</si>
  <si>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</si>
  <si>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</si>
  <si>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</si>
  <si>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</si>
  <si>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</si>
  <si>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</si>
  <si>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</si>
  <si>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</si>
  <si>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</si>
  <si>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</si>
  <si>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</si>
  <si>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</si>
  <si>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</si>
  <si>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</si>
  <si>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</si>
  <si>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</si>
  <si>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</si>
  <si>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</si>
  <si>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</si>
  <si>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</si>
  <si>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</si>
  <si>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</si>
  <si>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922</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</si>
  <si>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</si>
  <si>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</si>
  <si>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</si>
  <si>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</si>
  <si>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</si>
  <si>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</si>
  <si>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</si>
  <si>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</si>
  <si>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</si>
  <si>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</si>
  <si>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</si>
  <si>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</si>
  <si>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</si>
  <si>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</si>
  <si>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</si>
  <si>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</si>
  <si>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</si>
  <si>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</si>
  <si>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</si>
  <si>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</si>
  <si>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</si>
  <si>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</si>
  <si>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</si>
  <si>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</si>
  <si>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</si>
  <si>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</si>
  <si>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</si>
  <si>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</si>
  <si>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</si>
  <si>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</si>
  <si>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</si>
  <si>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</si>
  <si>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</si>
  <si>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</si>
  <si>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</si>
  <si>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</si>
  <si>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</si>
  <si>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</si>
  <si>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</si>
  <si>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</si>
  <si>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</si>
  <si>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</si>
  <si>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</si>
  <si>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</si>
  <si>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</si>
  <si>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</si>
  <si>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</si>
  <si>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</si>
  <si>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</si>
  <si>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</si>
  <si>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</si>
  <si>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Програм-ска Класиф.</t>
  </si>
  <si>
    <t>Економ. Класиф.</t>
  </si>
  <si>
    <t>Укупно</t>
  </si>
  <si>
    <t>УКУПНО ПРЕНЕТА СРЕДСТВА, ТЕКУЋИ ПРИХОДИ И ПРИМАЊА</t>
  </si>
  <si>
    <t>3</t>
  </si>
  <si>
    <t>Надлежан орган/особа</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</si>
  <si>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</si>
  <si>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</si>
  <si>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</si>
  <si>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</si>
  <si>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</si>
  <si>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</si>
  <si>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</si>
  <si>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</si>
  <si>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</si>
  <si>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</si>
  <si>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</si>
  <si>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</si>
  <si>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</si>
  <si>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</si>
  <si>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</si>
  <si>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</si>
  <si>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</si>
  <si>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</si>
  <si>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</si>
  <si>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</si>
  <si>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</si>
  <si>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</si>
  <si>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</si>
  <si>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</si>
  <si>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</si>
  <si>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</si>
  <si>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</si>
  <si>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</si>
  <si>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</si>
  <si>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</si>
  <si>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</si>
  <si>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</si>
  <si>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</si>
  <si>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</si>
  <si>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</si>
  <si>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</si>
  <si>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</si>
  <si>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</si>
  <si>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</si>
  <si>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</si>
  <si>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</si>
  <si>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</si>
  <si>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</si>
  <si>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</si>
  <si>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</si>
  <si>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</si>
  <si>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</si>
  <si>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</si>
  <si>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</si>
  <si>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</si>
  <si>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</si>
  <si>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</si>
  <si>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</si>
  <si>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</si>
  <si>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</si>
  <si>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</si>
  <si>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</si>
  <si>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</si>
  <si>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</si>
  <si>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</si>
  <si>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</si>
  <si>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</si>
  <si>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</si>
  <si>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</si>
  <si>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</si>
  <si>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</si>
  <si>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</si>
  <si>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</si>
  <si>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</si>
  <si>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</si>
  <si>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</si>
  <si>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</si>
  <si>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</si>
  <si>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</si>
  <si>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</si>
  <si>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</si>
  <si>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</si>
  <si>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</si>
  <si>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</si>
  <si>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</si>
  <si>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</si>
  <si>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</si>
  <si>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</si>
  <si>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</si>
  <si>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</si>
  <si>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</si>
  <si>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</si>
  <si>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</si>
  <si>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</si>
  <si>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</si>
  <si>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</si>
  <si>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</si>
  <si>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</si>
  <si>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</si>
  <si>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</si>
  <si>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</si>
  <si>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</si>
  <si>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</si>
  <si>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</si>
  <si>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</si>
  <si>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</si>
  <si>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</si>
  <si>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</si>
  <si>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</si>
  <si>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</si>
  <si>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</si>
  <si>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</si>
  <si>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</si>
  <si>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</si>
  <si>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</si>
  <si>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</si>
  <si>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</si>
  <si>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</si>
  <si>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</si>
  <si>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</si>
  <si>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</si>
  <si>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</si>
  <si>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</si>
  <si>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</si>
  <si>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</si>
  <si>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</si>
  <si>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</si>
  <si>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</si>
  <si>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</si>
  <si>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</si>
  <si>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</si>
  <si>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</si>
  <si>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</si>
  <si>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</si>
  <si>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</si>
  <si>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</si>
  <si>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</si>
  <si>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</si>
  <si>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</si>
  <si>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</si>
  <si>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</si>
  <si>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</si>
  <si>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</si>
  <si>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</si>
  <si>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</si>
  <si>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</si>
  <si>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</si>
  <si>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</si>
  <si>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</si>
  <si>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</si>
  <si>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</si>
  <si>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</si>
  <si>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</si>
  <si>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</si>
  <si>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</si>
  <si>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</si>
  <si>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</si>
  <si>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</si>
  <si>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</si>
  <si>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</si>
  <si>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</si>
  <si>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</si>
  <si>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</si>
  <si>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</si>
  <si>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</si>
  <si>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</si>
  <si>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</si>
  <si>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</si>
  <si>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</si>
  <si>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</si>
  <si>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</si>
  <si>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</si>
  <si>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</si>
  <si>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</si>
  <si>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</si>
  <si>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</si>
  <si>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</si>
  <si>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</si>
  <si>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</si>
  <si>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</si>
  <si>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</si>
  <si>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</si>
  <si>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</si>
  <si>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</si>
  <si>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</si>
  <si>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</si>
  <si>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</si>
  <si>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</si>
  <si>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</si>
  <si>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</si>
  <si>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</si>
  <si>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</si>
  <si>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</si>
  <si>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</si>
  <si>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</si>
  <si>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</si>
  <si>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</si>
  <si>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</si>
  <si>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</si>
  <si>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</si>
  <si>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</si>
  <si>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</si>
  <si>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</si>
  <si>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</si>
  <si>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</si>
  <si>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</si>
  <si>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</si>
  <si>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</si>
  <si>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</si>
  <si>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</si>
  <si>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</si>
  <si>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</si>
  <si>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</si>
  <si>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</si>
  <si>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</si>
  <si>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</si>
  <si>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</si>
  <si>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</si>
  <si>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</si>
  <si>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</si>
  <si>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</si>
  <si>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</si>
  <si>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</si>
  <si>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</si>
  <si>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</si>
  <si>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</si>
  <si>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</si>
  <si>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</si>
  <si>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</si>
  <si>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</si>
  <si>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</si>
  <si>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</si>
  <si>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</si>
  <si>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</si>
  <si>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</si>
  <si>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</si>
  <si>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</si>
  <si>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</si>
  <si>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ОПШТИНСКО ЈАВНО ПРАВОБРАНИЛАШТВО</t>
  </si>
  <si>
    <t>ОПШТИНСКА УПРАВА</t>
  </si>
  <si>
    <t>Социјална помоћ угроженон становништву некласификована на другом месту</t>
  </si>
  <si>
    <t>Донације невладиним организацијама</t>
  </si>
  <si>
    <t>Дотације  Црвеном Крсту</t>
  </si>
  <si>
    <t>Остале накнаде за социјалну заштиту из буџета</t>
  </si>
  <si>
    <t>0901-0006</t>
  </si>
  <si>
    <t>Трансфери Дому здравља</t>
  </si>
  <si>
    <t>Стална буџетска резерва</t>
  </si>
  <si>
    <t>Текућа буџетска резерва</t>
  </si>
  <si>
    <t>ДЕЧИЈИ ВРТИЋ  "ПЧЕЛИЦА"</t>
  </si>
  <si>
    <t>Свега за програмску активност 2001-0001</t>
  </si>
  <si>
    <t>Свега за програмску активност 2003-0001</t>
  </si>
  <si>
    <t>УСТАНОВА СПОРТСКИ ЦЕНТАР "КУЊАК"</t>
  </si>
  <si>
    <t>ПРОГРАМ 10:  СРЕДЊЕ ОБРАЗОВАЊЕ</t>
  </si>
  <si>
    <t>ПРОГРАМ 14:  РАЗВОЈ СПОРТА И ОМЛАДИНЕ</t>
  </si>
  <si>
    <t>Капитално одржавање зграда и објеката</t>
  </si>
  <si>
    <t>ЦЕНТАР ЗА КУЛТУРНЕ ДЕЛАТНОСТИ, ТУРИЗАМ И БИБЛИОТЕКАРСТВО</t>
  </si>
  <si>
    <t>Свега за програмску активност 1201-0001</t>
  </si>
  <si>
    <t>ПРОГРАМ 2: КОМУНАЛНА ДЕЛАТНОСТ</t>
  </si>
  <si>
    <t>Капиталне субвенције ЈП Комунално</t>
  </si>
  <si>
    <t>БУЏЕТСКИ ФОНД ЗА ЗАШТИТУ И УНАПРЕЂЕЊЕ ЖИВОТНЕ СРЕДИНЕ</t>
  </si>
  <si>
    <t>ПРОГРАМ 6: ЗАШТИТА ЖИВОТНЕ СРЕДИНЕ</t>
  </si>
  <si>
    <t>Управљање комуналним  отпадом</t>
  </si>
  <si>
    <t>Повереништво за избеглице</t>
  </si>
  <si>
    <t>СВЕГА ЗА РАЗДЕЛЕ ОД 1 ДО 5</t>
  </si>
  <si>
    <t>ИЗВОРИ ФИНАНСИРАЊА ЗА РАЗДЕЛЕ ОД 1 ДО 5</t>
  </si>
  <si>
    <t>01   Приходи из буџета</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</si>
  <si>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</si>
  <si>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</si>
  <si>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</si>
  <si>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</si>
  <si>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</si>
  <si>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</si>
  <si>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</si>
  <si>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</si>
  <si>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</si>
  <si>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</si>
  <si>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</si>
  <si>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</si>
  <si>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</si>
  <si>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</si>
  <si>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</si>
  <si>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</si>
  <si>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</si>
  <si>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</si>
  <si>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</si>
  <si>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</si>
  <si>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</si>
  <si>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</si>
  <si>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</si>
  <si>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</si>
  <si>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</si>
  <si>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</si>
  <si>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</si>
  <si>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</si>
  <si>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</si>
  <si>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</si>
  <si>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</si>
  <si>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</si>
  <si>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</si>
  <si>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</si>
  <si>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</si>
  <si>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(91+92+3) - (61+6211)</t>
  </si>
  <si>
    <t>(((7+8) - (4+5)) - 62) + ((91+92+3)-(6211+61))</t>
  </si>
  <si>
    <t>0602-0014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</si>
  <si>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</si>
  <si>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</si>
  <si>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</si>
  <si>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</si>
  <si>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</si>
  <si>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</si>
  <si>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</si>
  <si>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1505-4001</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</si>
  <si>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</si>
  <si>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</si>
  <si>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</si>
  <si>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</si>
  <si>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</si>
  <si>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</si>
  <si>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</si>
  <si>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</si>
  <si>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</si>
  <si>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</si>
  <si>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</si>
  <si>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</si>
  <si>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</si>
  <si>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</si>
  <si>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</si>
  <si>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</si>
  <si>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</si>
  <si>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</si>
  <si>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</si>
  <si>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</si>
  <si>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</si>
  <si>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</si>
  <si>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Заштита животне средине некласификована на др.</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</si>
  <si>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</si>
  <si>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</si>
  <si>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</si>
  <si>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</si>
  <si>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</si>
  <si>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</si>
  <si>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Р1505</t>
  </si>
  <si>
    <t>ПРОГРАМ 18  РС: РЕГИОНАЛНИ РАЗВОЈ</t>
  </si>
  <si>
    <t>ПРОГРАМ 8   ПРЕДШКОЛСКО ВАСПИТАЊЕ И ОБРАЗОВАЊЕ</t>
  </si>
  <si>
    <t>Свега за Пројекат РС1505-4001/2001-П1</t>
  </si>
  <si>
    <t>Подршка развоју локалне и регионалне инфраструктуре - Изградња објекта дечјег вртића у Владичином Хану</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</si>
  <si>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</si>
  <si>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</si>
  <si>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</si>
  <si>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</si>
  <si>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</si>
  <si>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</si>
  <si>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</si>
  <si>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</si>
  <si>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</si>
  <si>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</si>
  <si>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</si>
  <si>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</si>
  <si>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</si>
  <si>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</si>
  <si>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</si>
  <si>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</si>
  <si>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</si>
  <si>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</si>
  <si>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</si>
  <si>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</si>
  <si>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</si>
  <si>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</si>
  <si>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</si>
  <si>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</si>
  <si>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</si>
  <si>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</si>
  <si>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473</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</si>
  <si>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</si>
  <si>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</si>
  <si>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</si>
  <si>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</si>
  <si>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</si>
  <si>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</si>
  <si>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</si>
  <si>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</si>
  <si>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</si>
  <si>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</si>
  <si>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</si>
  <si>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</si>
  <si>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</si>
  <si>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Свега за програмску активност 1801-0002</t>
  </si>
  <si>
    <t>1201-0003</t>
  </si>
  <si>
    <t>Свега за програмску активност 1201-0003</t>
  </si>
  <si>
    <t>Свега за програмску активност 1201-0004</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</si>
  <si>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</si>
  <si>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</si>
  <si>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</si>
  <si>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</si>
  <si>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</si>
  <si>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</si>
  <si>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</si>
  <si>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</si>
  <si>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</si>
  <si>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</si>
  <si>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</si>
  <si>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</si>
  <si>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</si>
  <si>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</si>
  <si>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</si>
  <si>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</si>
  <si>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</si>
  <si>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</si>
  <si>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</si>
  <si>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</si>
  <si>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</si>
  <si>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</si>
  <si>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</si>
  <si>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</si>
  <si>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</si>
  <si>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</si>
  <si>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</si>
  <si>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</si>
  <si>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</si>
  <si>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</si>
  <si>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</si>
  <si>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</si>
  <si>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</si>
  <si>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</si>
  <si>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</si>
  <si>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</si>
  <si>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</si>
  <si>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</si>
  <si>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</si>
  <si>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</si>
  <si>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</si>
  <si>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07  Трансфери од осталих нивоа власти</t>
  </si>
  <si>
    <t>0701-П5</t>
  </si>
  <si>
    <t>Субвенције јавним  нефинансијским предузећима и организацијама</t>
  </si>
  <si>
    <t xml:space="preserve">Субвенције приватним предузећима </t>
  </si>
  <si>
    <t>СВЕГА ЗА РАЗДЕО 5 - ОПШТИНСКА УПРАВА</t>
  </si>
  <si>
    <t>Пројекат "Израда пр-тех. документације за изградњу колектора и постројења за пречишћавање отпадних вода за Владичин Хан и Сурдулицу "</t>
  </si>
  <si>
    <t>Дотације невладиним орг. - пољопривредни фондови</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</si>
  <si>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</si>
  <si>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</si>
  <si>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</si>
  <si>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Залихе производње</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</si>
  <si>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</si>
  <si>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</si>
  <si>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</si>
  <si>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</si>
  <si>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</si>
  <si>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</si>
  <si>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Текући Трансфери Центру за социјални рад</t>
  </si>
  <si>
    <t>Капитални Трансфери Центру за социјални рад</t>
  </si>
  <si>
    <t>Дотације невладиним организацијама СКГО, НАЛЕД, ЦРЈП</t>
  </si>
  <si>
    <t xml:space="preserve">Дотације невладиним организацијама - Суфинансирање Пројеката  повећавања могућности запошљавања </t>
  </si>
  <si>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</si>
  <si>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</si>
  <si>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</si>
  <si>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</si>
  <si>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</si>
  <si>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</si>
  <si>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</si>
  <si>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</si>
  <si>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</si>
  <si>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</si>
  <si>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</si>
  <si>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</si>
  <si>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 xml:space="preserve">Израда пр-тех. документације за изградњу колектора и постројења за пречишћавање отпадних вода за Владичин Хан и Сурдулицу </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</si>
  <si>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</si>
  <si>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</si>
  <si>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</si>
  <si>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</si>
  <si>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</si>
  <si>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</si>
  <si>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</si>
  <si>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</si>
  <si>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</si>
  <si>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</si>
  <si>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</si>
  <si>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</si>
  <si>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</si>
  <si>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</si>
  <si>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</si>
  <si>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</si>
  <si>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</si>
  <si>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</si>
  <si>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</si>
  <si>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</si>
  <si>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</si>
  <si>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</si>
  <si>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</si>
  <si>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</si>
  <si>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</si>
  <si>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</si>
  <si>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</si>
  <si>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</si>
  <si>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</si>
  <si>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</si>
  <si>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</si>
  <si>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</si>
  <si>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</si>
  <si>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</si>
  <si>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</si>
  <si>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</si>
  <si>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</si>
  <si>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</si>
  <si>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</si>
  <si>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</si>
  <si>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</si>
  <si>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</si>
  <si>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</si>
  <si>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</si>
  <si>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</si>
  <si>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</si>
  <si>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</si>
  <si>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</si>
  <si>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</si>
  <si>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</si>
  <si>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</si>
  <si>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</si>
  <si>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</si>
  <si>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</si>
  <si>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</si>
  <si>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</si>
  <si>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</si>
  <si>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</si>
  <si>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</si>
  <si>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</si>
  <si>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</si>
  <si>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</si>
  <si>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</si>
  <si>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</si>
  <si>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</si>
  <si>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</si>
  <si>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</si>
  <si>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</si>
  <si>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</si>
  <si>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</si>
  <si>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</si>
  <si>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</si>
  <si>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</si>
  <si>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</si>
  <si>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</si>
  <si>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</si>
  <si>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</si>
  <si>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</si>
  <si>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</si>
  <si>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</si>
  <si>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</si>
  <si>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 xml:space="preserve">Капиталне субвенције ЈП Водовод </t>
  </si>
  <si>
    <t>Пројекат "Изградња водоводне мреже у МЗ Мазараћ и МЗ Манајле</t>
  </si>
  <si>
    <t>Пројекат "Рехабилитација локалног пута Брестово - Јагњило и реконструкција Београдске улице"</t>
  </si>
  <si>
    <r>
      <t xml:space="preserve">СВЕГА ЗА РАЗДЕО 1 - СКУПШТИНА ОПШТИНЕ           </t>
    </r>
    <r>
      <rPr>
        <b/>
        <i/>
        <sz val="11"/>
        <color theme="1"/>
        <rFont val="Times New Roman"/>
        <family val="1"/>
        <charset val="238"/>
      </rPr>
      <t>извор финансирања  за раздео   1 - 01 приходи из буџета</t>
    </r>
  </si>
  <si>
    <r>
      <t xml:space="preserve">СВЕГА ЗА РАЗДЕО 2 - ОПШТИНСКО   ВЕЋЕ                    </t>
    </r>
    <r>
      <rPr>
        <b/>
        <i/>
        <sz val="11"/>
        <color theme="1"/>
        <rFont val="Times New Roman"/>
        <family val="1"/>
        <charset val="238"/>
      </rPr>
      <t>извори финансирања  за раздео    2 - 01 - приходи из буџета</t>
    </r>
  </si>
  <si>
    <r>
      <t xml:space="preserve">СВЕГА ЗА РАЗДЕО 3 - ПРЕДСЕДНИК  ОПШТИНЕ         </t>
    </r>
    <r>
      <rPr>
        <b/>
        <i/>
        <sz val="11"/>
        <color theme="1"/>
        <rFont val="Times New Roman"/>
        <family val="1"/>
        <charset val="238"/>
      </rPr>
      <t>извор финансирања за раздео 3 - 01 - приходи из буџета</t>
    </r>
  </si>
  <si>
    <r>
      <t xml:space="preserve">СВЕГА ЗА РАЗДЕО 4 -   ОПШТИНСКО ЈАВНО ПРАВОБР.  </t>
    </r>
    <r>
      <rPr>
        <b/>
        <i/>
        <sz val="11"/>
        <color theme="1"/>
        <rFont val="Times New Roman"/>
        <family val="1"/>
        <charset val="238"/>
      </rPr>
      <t>Извор финансирања за раздео 4 - 01 - приходи из буџета</t>
    </r>
  </si>
  <si>
    <r>
      <t xml:space="preserve">Свега за програмску активност 1102-0002                          </t>
    </r>
    <r>
      <rPr>
        <b/>
        <i/>
        <sz val="11"/>
        <color theme="1"/>
        <rFont val="Times New Roman"/>
        <family val="1"/>
        <charset val="238"/>
      </rPr>
      <t>извор финансирања 01 - приходи из буџета</t>
    </r>
  </si>
  <si>
    <t>Изградња водоводне мреже у МЗ Мазараћ и МЗ Манајле</t>
  </si>
  <si>
    <t>Пројекат експропријације земљишта у појасу индустријске зоне Владичин Хан</t>
  </si>
  <si>
    <t>Пројекат "Рехабилитација локалних путних праваца у МЗ Житорађе</t>
  </si>
  <si>
    <t>Пројекат "Реконструкција локалног пута у МЗ Љутеж"</t>
  </si>
  <si>
    <t>Пројекат "Изградња дела Београдске улице</t>
  </si>
  <si>
    <t>Пројекат "Изградња дела Карађорђеве улице</t>
  </si>
  <si>
    <t>Пројекат "Изградња дела  улице Јована Јовановића Змаја</t>
  </si>
  <si>
    <t>Пројекат "реконструкција локалног некатегорисаног пута у МЗ Прекодолце</t>
  </si>
  <si>
    <t>0701-П3</t>
  </si>
  <si>
    <t>0701-П4</t>
  </si>
  <si>
    <t xml:space="preserve">Материјал </t>
  </si>
  <si>
    <t xml:space="preserve">Накнаде за социјалну заштиту из буџета - превоз деце са сметњама у развоју </t>
  </si>
  <si>
    <t xml:space="preserve">Свега за програмску активност 1801-0001                              </t>
  </si>
  <si>
    <r>
      <t xml:space="preserve">Свега за програмску активност 0401-0001                            </t>
    </r>
    <r>
      <rPr>
        <b/>
        <i/>
        <sz val="11"/>
        <color theme="1"/>
        <rFont val="Times New Roman"/>
        <family val="1"/>
        <charset val="238"/>
      </rPr>
      <t xml:space="preserve">извор финансирања 01 - приходи из буџета  </t>
    </r>
    <r>
      <rPr>
        <b/>
        <sz val="11"/>
        <color theme="1"/>
        <rFont val="Times New Roman"/>
        <family val="1"/>
      </rPr>
      <t xml:space="preserve">                   </t>
    </r>
  </si>
  <si>
    <r>
      <t xml:space="preserve">Свега за програмску активност 0401-0005                              </t>
    </r>
    <r>
      <rPr>
        <b/>
        <i/>
        <sz val="11"/>
        <color theme="1"/>
        <rFont val="Times New Roman"/>
        <family val="1"/>
        <charset val="238"/>
      </rPr>
      <t xml:space="preserve">извор финансирања 01 - приходи из буџета </t>
    </r>
  </si>
  <si>
    <r>
      <t xml:space="preserve">Свега за програмску активност 0701-0002                                              </t>
    </r>
    <r>
      <rPr>
        <b/>
        <i/>
        <sz val="11"/>
        <color theme="1"/>
        <rFont val="Times New Roman"/>
        <family val="1"/>
        <charset val="238"/>
      </rPr>
      <t xml:space="preserve">извор фин. 01 - приходи из буџета               </t>
    </r>
  </si>
  <si>
    <r>
      <t xml:space="preserve">Свега за Пројекат 0701-П2                                                                      </t>
    </r>
    <r>
      <rPr>
        <b/>
        <i/>
        <sz val="11"/>
        <color theme="1"/>
        <rFont val="Times New Roman"/>
        <family val="1"/>
        <charset val="238"/>
      </rPr>
      <t xml:space="preserve">извор фин. 13 нераспоређен вишак прихода ранијих година                            </t>
    </r>
  </si>
  <si>
    <r>
      <t xml:space="preserve">Свега за програмску активност 0901-0006                              </t>
    </r>
    <r>
      <rPr>
        <b/>
        <i/>
        <sz val="11"/>
        <color theme="1"/>
        <rFont val="Times New Roman"/>
        <family val="1"/>
        <charset val="238"/>
      </rPr>
      <t xml:space="preserve">извор финан. 01 - приходи из буџета                 </t>
    </r>
  </si>
  <si>
    <r>
      <t xml:space="preserve">Свега за програмску активност 0901-0007                               </t>
    </r>
    <r>
      <rPr>
        <b/>
        <i/>
        <sz val="11"/>
        <color theme="1"/>
        <rFont val="Times New Roman"/>
        <family val="1"/>
        <charset val="238"/>
      </rPr>
      <t xml:space="preserve">извор финан. 01 - приходи из буџета                   </t>
    </r>
  </si>
  <si>
    <r>
      <t xml:space="preserve">Свега за програмску активност 0901-0008                              </t>
    </r>
    <r>
      <rPr>
        <b/>
        <i/>
        <sz val="11"/>
        <color theme="1"/>
        <rFont val="Times New Roman"/>
        <family val="1"/>
        <charset val="238"/>
      </rPr>
      <t xml:space="preserve">извор финан. 01 - приходи из буџета                    </t>
    </r>
    <r>
      <rPr>
        <b/>
        <sz val="11"/>
        <color theme="1"/>
        <rFont val="Times New Roman"/>
        <family val="1"/>
      </rPr>
      <t xml:space="preserve">  </t>
    </r>
  </si>
  <si>
    <r>
      <t xml:space="preserve">Свега за програмску активност 0901-0005                               </t>
    </r>
    <r>
      <rPr>
        <b/>
        <i/>
        <sz val="11"/>
        <color theme="1"/>
        <rFont val="Times New Roman"/>
        <family val="1"/>
        <charset val="238"/>
      </rPr>
      <t xml:space="preserve">извор финансирања 01- приходи из буџета         </t>
    </r>
  </si>
  <si>
    <r>
      <t xml:space="preserve">Свега за Пројекат 0701-П1                                                                </t>
    </r>
    <r>
      <rPr>
        <b/>
        <i/>
        <sz val="11"/>
        <color theme="1"/>
        <rFont val="Times New Roman"/>
        <family val="1"/>
        <charset val="238"/>
      </rPr>
      <t xml:space="preserve">извор фин. 09  примања од продаје нефи. имовине                            </t>
    </r>
  </si>
  <si>
    <t>МЕСНЕ ЗАЈЕДНИЦЕ</t>
  </si>
  <si>
    <t>ПРОГРАМ 15 - ОПШТЕ УСЛУГЕ ЛОКАЛНЕ САМОУПРАВЕ</t>
  </si>
  <si>
    <t>Социјална заштита некласификована на друг. месту</t>
  </si>
  <si>
    <r>
      <t xml:space="preserve">Свега за Пројекат 0701-П4                                                                                  </t>
    </r>
    <r>
      <rPr>
        <b/>
        <i/>
        <sz val="11"/>
        <color theme="1"/>
        <rFont val="Times New Roman"/>
        <family val="1"/>
        <charset val="238"/>
      </rPr>
      <t xml:space="preserve"> извор финансирања 01 - приходи из буџета                                             </t>
    </r>
  </si>
  <si>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</si>
  <si>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</si>
  <si>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</si>
  <si>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</si>
  <si>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</si>
  <si>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 xml:space="preserve">Проширење мреже јавне расвете у граду </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</si>
  <si>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</si>
  <si>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</si>
  <si>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</si>
  <si>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</si>
  <si>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</si>
  <si>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</si>
  <si>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</si>
  <si>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</si>
  <si>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</si>
  <si>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</si>
  <si>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</si>
  <si>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</si>
  <si>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</si>
  <si>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</si>
  <si>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</si>
  <si>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</si>
  <si>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</si>
  <si>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</si>
  <si>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</si>
  <si>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       Табела 2  -    ПРЕГЛЕД ИЗДАТАКА ЗА КАПИТАЛНЕ ПРОЈЕКТЕ ОПШТИНЕ ВЛАДИЧИН ХАН </t>
  </si>
  <si>
    <t>дотације невладиним организацијама</t>
  </si>
  <si>
    <t>Дотације НВО за реализацију Пројеката Локалног плана акције за децу</t>
  </si>
  <si>
    <r>
      <t xml:space="preserve">Свега за Пројекат 0701-П3                                                                                </t>
    </r>
    <r>
      <rPr>
        <b/>
        <i/>
        <sz val="11"/>
        <color theme="1"/>
        <rFont val="Times New Roman"/>
        <family val="1"/>
        <charset val="238"/>
      </rPr>
      <t xml:space="preserve"> извор фин. 13 нераспоређен вишак прихода ранијих година                     </t>
    </r>
  </si>
  <si>
    <t>-из пренетих прихода претх. године</t>
  </si>
  <si>
    <r>
      <t xml:space="preserve">Свега за програмску активност 2002-0001                            </t>
    </r>
    <r>
      <rPr>
        <b/>
        <i/>
        <sz val="11"/>
        <color theme="1"/>
        <rFont val="Times New Roman"/>
        <family val="1"/>
        <charset val="238"/>
      </rPr>
      <t xml:space="preserve">извор фин. 01 приходи из буџета     </t>
    </r>
    <r>
      <rPr>
        <b/>
        <sz val="11"/>
        <color theme="1"/>
        <rFont val="Times New Roman"/>
        <family val="1"/>
      </rPr>
      <t xml:space="preserve">         </t>
    </r>
  </si>
  <si>
    <t>Накнаде за социјалну заштиту  из буџета</t>
  </si>
  <si>
    <t>- из текућих прихода и примања</t>
  </si>
  <si>
    <t>20</t>
  </si>
  <si>
    <t>79</t>
  </si>
  <si>
    <t>121/1</t>
  </si>
  <si>
    <r>
      <t xml:space="preserve">СВЕГА ГЛАВА 3. РАЗДЕЛА 5.                                               </t>
    </r>
    <r>
      <rPr>
        <b/>
        <i/>
        <sz val="11"/>
        <color theme="1"/>
        <rFont val="Times New Roman"/>
        <family val="1"/>
        <charset val="238"/>
      </rPr>
      <t xml:space="preserve">извор финансирања 01 - приходи из буџета </t>
    </r>
  </si>
  <si>
    <r>
      <t xml:space="preserve">Свега  Раздео  5.  ПРОГРАМ 12                                       </t>
    </r>
    <r>
      <rPr>
        <b/>
        <i/>
        <sz val="11"/>
        <color theme="1"/>
        <rFont val="Times New Roman"/>
        <family val="1"/>
        <charset val="238"/>
      </rPr>
      <t xml:space="preserve">извор финансирања 01 - приходи из буџета            </t>
    </r>
  </si>
  <si>
    <r>
      <t xml:space="preserve">Свега  Раздео  5.  ПРОГРАМ 13                                       </t>
    </r>
    <r>
      <rPr>
        <b/>
        <i/>
        <sz val="11"/>
        <color theme="1"/>
        <rFont val="Times New Roman"/>
        <family val="1"/>
        <charset val="238"/>
      </rPr>
      <t xml:space="preserve">извор финансирања 01 - приходи из буџета           </t>
    </r>
  </si>
  <si>
    <r>
      <t xml:space="preserve">Свега  Раздео  5. - ПРОГРАМ 10                                      </t>
    </r>
    <r>
      <rPr>
        <b/>
        <i/>
        <sz val="11"/>
        <color theme="1"/>
        <rFont val="Times New Roman"/>
        <family val="1"/>
        <charset val="238"/>
      </rPr>
      <t xml:space="preserve">извор фин. 01 приходи из буџета                          </t>
    </r>
  </si>
  <si>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</si>
  <si>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</si>
  <si>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</si>
  <si>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</si>
  <si>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</si>
  <si>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175/1</t>
  </si>
  <si>
    <t>106/1</t>
  </si>
  <si>
    <t>Пројекат "Реконструкција локалног некатегорисаног  пута у МЗ Летовиште</t>
  </si>
  <si>
    <t>132/1</t>
  </si>
  <si>
    <t>132/2</t>
  </si>
  <si>
    <t>Пројекат "Изградња отворених базена у Владичином Хану"</t>
  </si>
  <si>
    <t>Пројекат "Прекогранична сарадња, управљање животном средином у области отпадних вода"</t>
  </si>
  <si>
    <t>102/1</t>
  </si>
  <si>
    <t>0602-П1</t>
  </si>
  <si>
    <t>64/1</t>
  </si>
  <si>
    <t>Пројекат "Управљање јавном имовином у функцији смањења сиромаштва" ЕXCНANGE</t>
  </si>
  <si>
    <r>
      <t xml:space="preserve">Свега за програмску активност 0602-0009                            </t>
    </r>
    <r>
      <rPr>
        <b/>
        <i/>
        <sz val="11"/>
        <color theme="1"/>
        <rFont val="Times New Roman"/>
        <family val="1"/>
        <charset val="238"/>
      </rPr>
      <t>извор финансирања 01 - приходи из буџета</t>
    </r>
  </si>
  <si>
    <r>
      <t xml:space="preserve">Свега за програмску активност 0602-0010                           </t>
    </r>
    <r>
      <rPr>
        <b/>
        <i/>
        <sz val="11"/>
        <color theme="1"/>
        <rFont val="Times New Roman"/>
        <family val="1"/>
        <charset val="238"/>
      </rPr>
      <t>извор финансирања 01 - приходи из буџета</t>
    </r>
  </si>
  <si>
    <t>Субвенције ЈП Водовод</t>
  </si>
  <si>
    <t>Учешће капитала у домаћим нефинансијским предузећ.</t>
  </si>
  <si>
    <t>108/1</t>
  </si>
  <si>
    <t>Пројекат "Изградња тениских терена на УСЦ Куњак" - Владичин Хан</t>
  </si>
  <si>
    <t>132/3</t>
  </si>
  <si>
    <t>132/4</t>
  </si>
  <si>
    <t>5/1</t>
  </si>
  <si>
    <t>32/1</t>
  </si>
  <si>
    <t>32/2</t>
  </si>
  <si>
    <t>Пројекат "Подстицај популационој политици на територији Општине Владичин Хан"</t>
  </si>
  <si>
    <t>32/3</t>
  </si>
  <si>
    <t>Трансфери организацијама обавезног социјалног осигурања</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</si>
  <si>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</si>
  <si>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</si>
  <si>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</si>
  <si>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</si>
  <si>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32/4</t>
  </si>
  <si>
    <r>
      <t xml:space="preserve">Свега за програмску активност 1301-0001                           </t>
    </r>
    <r>
      <rPr>
        <b/>
        <i/>
        <sz val="11"/>
        <color theme="1"/>
        <rFont val="Times New Roman"/>
        <family val="1"/>
        <charset val="238"/>
      </rPr>
      <t xml:space="preserve"> извор финансирања 01 - приходи из буџета    </t>
    </r>
  </si>
  <si>
    <r>
      <t xml:space="preserve">Свега за програмску активност 1301-0005                       </t>
    </r>
    <r>
      <rPr>
        <b/>
        <i/>
        <sz val="11"/>
        <color theme="1"/>
        <rFont val="Times New Roman"/>
        <family val="1"/>
        <charset val="238"/>
      </rPr>
      <t xml:space="preserve">    извор фин. 01 - приходи буџета Општине</t>
    </r>
  </si>
  <si>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</si>
  <si>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</si>
  <si>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</si>
  <si>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</si>
  <si>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</si>
  <si>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r>
      <t xml:space="preserve">Свега за пројекат 0401-П1                                                       </t>
    </r>
    <r>
      <rPr>
        <b/>
        <i/>
        <sz val="11"/>
        <color theme="1"/>
        <rFont val="Times New Roman"/>
        <family val="1"/>
        <charset val="238"/>
      </rPr>
      <t xml:space="preserve">извор фин. 13 - нерасп. вишак прихода из претходних год.  </t>
    </r>
  </si>
  <si>
    <t xml:space="preserve">Свега за програмску активност 0101-0001                            </t>
  </si>
  <si>
    <r>
      <t xml:space="preserve">Свега за пројекат 1501 - П1                                                                                   </t>
    </r>
    <r>
      <rPr>
        <b/>
        <i/>
        <sz val="11"/>
        <color theme="1"/>
        <rFont val="Times New Roman"/>
        <family val="1"/>
        <charset val="238"/>
      </rPr>
      <t>Извор фин. 09 - примања од продаје неф. имовине</t>
    </r>
    <r>
      <rPr>
        <b/>
        <sz val="11"/>
        <color theme="1"/>
        <rFont val="Times New Roman"/>
        <family val="1"/>
      </rPr>
      <t xml:space="preserve">   </t>
    </r>
  </si>
  <si>
    <r>
      <t xml:space="preserve">Свега за програмску активност 1102-0003                        </t>
    </r>
    <r>
      <rPr>
        <b/>
        <i/>
        <sz val="11"/>
        <color theme="1"/>
        <rFont val="Times New Roman"/>
        <family val="1"/>
        <charset val="238"/>
      </rPr>
      <t xml:space="preserve">извор финансирања 01 - приходи из буџета                                    </t>
    </r>
  </si>
  <si>
    <r>
      <t xml:space="preserve">СВЕГА ГЛАВА 4. РАЗДЕЛА 5.                                                </t>
    </r>
    <r>
      <rPr>
        <b/>
        <i/>
        <sz val="11"/>
        <color theme="1"/>
        <rFont val="Times New Roman"/>
        <family val="1"/>
        <charset val="238"/>
      </rPr>
      <t xml:space="preserve">извор финансирања 01 - приходи из буџета </t>
    </r>
  </si>
  <si>
    <t>Проширење капацитета централног објекта вртића, опремање новог објекта и опремање отворених спортских терена играчкама за децу</t>
  </si>
  <si>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</si>
  <si>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</si>
  <si>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</si>
  <si>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-из добровољних трансфера правних лица</t>
  </si>
  <si>
    <t>Пројекат "Реконструкција локалног пута у МЗ Летовиште"</t>
  </si>
  <si>
    <t>Изградња отворених  базена у Владичином Хану</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</si>
  <si>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</si>
  <si>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</si>
  <si>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</si>
  <si>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</si>
  <si>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r>
      <t xml:space="preserve">СВЕГА ГЛАВА 1. РАЗДЕЛА 5.                                                </t>
    </r>
    <r>
      <rPr>
        <b/>
        <i/>
        <sz val="11"/>
        <color theme="1"/>
        <rFont val="Times New Roman"/>
        <family val="1"/>
        <charset val="238"/>
      </rPr>
      <t xml:space="preserve">извор фин. 01 - приходи из буџета                       </t>
    </r>
  </si>
  <si>
    <t>ПЛАН</t>
  </si>
  <si>
    <t>Извршење</t>
  </si>
  <si>
    <t>Остатак за реализацију</t>
  </si>
  <si>
    <t>%        реализ.</t>
  </si>
  <si>
    <t>113/1</t>
  </si>
  <si>
    <t>Остале дотације и трансфери</t>
  </si>
  <si>
    <t>Остатак за извршење</t>
  </si>
  <si>
    <t>остатак за извршење</t>
  </si>
  <si>
    <t xml:space="preserve">        %  извршења</t>
  </si>
  <si>
    <t xml:space="preserve"> % извршења</t>
  </si>
  <si>
    <t xml:space="preserve">        % изврш.</t>
  </si>
  <si>
    <t>План</t>
  </si>
  <si>
    <t>планирана средства</t>
  </si>
  <si>
    <t>извршење расхода и издатака</t>
  </si>
  <si>
    <t xml:space="preserve"> % изврш.</t>
  </si>
  <si>
    <t>Планирано</t>
  </si>
  <si>
    <t>ИЗВРШЕНО</t>
  </si>
  <si>
    <r>
      <t>Буџетски</t>
    </r>
    <r>
      <rPr>
        <b/>
        <u/>
        <sz val="12"/>
        <rFont val="Times New Roman"/>
        <family val="1"/>
      </rPr>
      <t xml:space="preserve"> </t>
    </r>
    <r>
      <rPr>
        <b/>
        <u/>
        <sz val="12"/>
        <rFont val="Times New Roman"/>
        <family val="1"/>
        <charset val="238"/>
      </rPr>
      <t>суфицит</t>
    </r>
    <r>
      <rPr>
        <b/>
        <sz val="12"/>
        <rFont val="Times New Roman"/>
        <family val="1"/>
        <charset val="238"/>
      </rPr>
      <t>/дефицит</t>
    </r>
  </si>
  <si>
    <r>
      <t xml:space="preserve">Укупан фискални </t>
    </r>
    <r>
      <rPr>
        <b/>
        <u/>
        <sz val="12"/>
        <rFont val="Times New Roman"/>
        <family val="1"/>
        <charset val="238"/>
      </rPr>
      <t>суфицит</t>
    </r>
    <r>
      <rPr>
        <b/>
        <sz val="12"/>
        <rFont val="Times New Roman"/>
        <family val="1"/>
        <charset val="238"/>
      </rPr>
      <t xml:space="preserve">/дефицит </t>
    </r>
  </si>
  <si>
    <r>
      <t xml:space="preserve">Укупан фискални </t>
    </r>
    <r>
      <rPr>
        <b/>
        <u/>
        <sz val="12"/>
        <rFont val="Times New Roman"/>
        <family val="1"/>
        <charset val="238"/>
      </rPr>
      <t>суфицит</t>
    </r>
    <r>
      <rPr>
        <b/>
        <sz val="12"/>
        <rFont val="Times New Roman"/>
        <family val="1"/>
        <charset val="238"/>
      </rPr>
      <t>/дефицит плус нето финансирање</t>
    </r>
  </si>
  <si>
    <t>745166</t>
  </si>
  <si>
    <t>Средства од 5% бруто премије осигурања од аутоодговорности</t>
  </si>
  <si>
    <t>Накнаде за соц. Заш. из буџета - Стипендије и награде</t>
  </si>
  <si>
    <t>32/5</t>
  </si>
  <si>
    <r>
      <t xml:space="preserve">Свега  Раздео 5 -  ПРОГРАМ 15:                                      </t>
    </r>
    <r>
      <rPr>
        <b/>
        <i/>
        <sz val="11"/>
        <color theme="1"/>
        <rFont val="Times New Roman"/>
        <family val="1"/>
        <charset val="238"/>
      </rPr>
      <t xml:space="preserve">извор финансирања 01 - приходи из буџета                     извор фин. 06 - донације међунар. Органи.                                     извор фин. 09 - примања од продаје нефин. имов.  </t>
    </r>
  </si>
  <si>
    <r>
      <t xml:space="preserve">Свега за програмску активност 0401-0004                              </t>
    </r>
    <r>
      <rPr>
        <b/>
        <i/>
        <sz val="11"/>
        <color theme="1"/>
        <rFont val="Times New Roman"/>
        <family val="1"/>
        <charset val="238"/>
      </rPr>
      <t xml:space="preserve">извор финансирања 01 - приходи из буџета                     извор фин. 09 -примања од продаје неф. имов.      </t>
    </r>
  </si>
  <si>
    <r>
      <t xml:space="preserve">Свега за пројекат  2002-П1                                                      </t>
    </r>
    <r>
      <rPr>
        <b/>
        <i/>
        <sz val="11"/>
        <color theme="1"/>
        <rFont val="Times New Roman"/>
        <family val="1"/>
        <charset val="238"/>
      </rPr>
      <t xml:space="preserve">извор фин. 01 приходи из буџета                                     извор фин. 07 трансфери других нивоа власти  </t>
    </r>
  </si>
  <si>
    <r>
      <t xml:space="preserve">Свега  Раздео 5. ПРОГРАМ   9                                          </t>
    </r>
    <r>
      <rPr>
        <b/>
        <i/>
        <sz val="11"/>
        <color theme="1"/>
        <rFont val="Times New Roman"/>
        <family val="1"/>
        <charset val="238"/>
      </rPr>
      <t xml:space="preserve">извор фин. 01 приходи из буџета                                     извор фин. 07 трансфери других нивоа власти  </t>
    </r>
  </si>
  <si>
    <r>
      <t xml:space="preserve">СВЕГА ГЛАВА 2. РАЗДЕЛА 5.                                                </t>
    </r>
    <r>
      <rPr>
        <b/>
        <i/>
        <sz val="11"/>
        <color theme="1"/>
        <rFont val="Times New Roman"/>
        <family val="1"/>
        <charset val="238"/>
      </rPr>
      <t xml:space="preserve">извор финансирања 01 - приходи из буџета                     </t>
    </r>
  </si>
  <si>
    <t xml:space="preserve">извршење у периоду           01.01.-30.09.2018. </t>
  </si>
  <si>
    <t>извршење у периоду                 01.01.-30.09.2018.</t>
  </si>
  <si>
    <t xml:space="preserve">       ОПШТИ ДЕО  -    ИЗДАЦИ ПО ОСНОВНИМ НАМЕНАМА У ПЕРИОДУ 01.01.-30.09.2018. године</t>
  </si>
  <si>
    <t xml:space="preserve">План и извршење за 01.01.-30.09. 2018. </t>
  </si>
  <si>
    <r>
      <t xml:space="preserve">Извршење                  </t>
    </r>
    <r>
      <rPr>
        <b/>
        <sz val="10"/>
        <rFont val="Times New Roman"/>
        <family val="1"/>
        <charset val="238"/>
      </rPr>
      <t>01.01.-30.09.2018.</t>
    </r>
  </si>
  <si>
    <r>
      <t xml:space="preserve">Свега за Пројекат 0901-П1                                                                </t>
    </r>
    <r>
      <rPr>
        <b/>
        <i/>
        <sz val="11"/>
        <color theme="1"/>
        <rFont val="Times New Roman"/>
        <family val="1"/>
        <charset val="238"/>
      </rPr>
      <t xml:space="preserve">извор фин. 07  трансфери других нивоа власти               извор фин. 09 примања од продаје имовине                                      </t>
    </r>
  </si>
  <si>
    <r>
      <t xml:space="preserve">Свега за програмску активност 0901-0001                              </t>
    </r>
    <r>
      <rPr>
        <b/>
        <i/>
        <sz val="11"/>
        <color theme="1"/>
        <rFont val="Times New Roman"/>
        <family val="1"/>
        <charset val="238"/>
      </rPr>
      <t xml:space="preserve">извори финан. 01 - приходи из буџета                           извори финан. 06 - донације међ.организација         </t>
    </r>
    <r>
      <rPr>
        <b/>
        <sz val="11"/>
        <color theme="1"/>
        <rFont val="Times New Roman"/>
        <family val="1"/>
      </rPr>
      <t xml:space="preserve">    </t>
    </r>
  </si>
  <si>
    <r>
      <t xml:space="preserve">Свега за програмску активност 0901-0003                             </t>
    </r>
    <r>
      <rPr>
        <b/>
        <i/>
        <sz val="11"/>
        <color theme="1"/>
        <rFont val="Times New Roman"/>
        <family val="1"/>
        <charset val="238"/>
      </rPr>
      <t xml:space="preserve">извори финан. 01 - приходи из буџета                           извори финан. 07 - трансфери других нивоа власти           </t>
    </r>
  </si>
  <si>
    <r>
      <t xml:space="preserve">Свега   Раздео 5  - ПРОГРАМ 11:                                     </t>
    </r>
    <r>
      <rPr>
        <b/>
        <i/>
        <sz val="11"/>
        <color theme="1"/>
        <rFont val="Times New Roman"/>
        <family val="1"/>
        <charset val="238"/>
      </rPr>
      <t xml:space="preserve">извор финан. 01 - приходи из буџета                               извор финан. 06 - донације међународних организација                   извор финан. 07 - трансфери других нивоа власти                 извор финан.09 - примања од продаје нефинансијске  имов.         </t>
    </r>
  </si>
  <si>
    <r>
      <t xml:space="preserve">Свега  Раздео 5.  ПРОГРАМ 17                                        </t>
    </r>
    <r>
      <rPr>
        <b/>
        <i/>
        <sz val="11"/>
        <color theme="1"/>
        <rFont val="Times New Roman"/>
        <family val="1"/>
        <charset val="238"/>
      </rPr>
      <t xml:space="preserve">извор фин.09 - примања од продаје нефин. имовине                   извор фин. 07 - трансфери других нивоа власти </t>
    </r>
  </si>
  <si>
    <r>
      <t xml:space="preserve">Свега за програмску активност 0602-0001                              </t>
    </r>
    <r>
      <rPr>
        <b/>
        <i/>
        <sz val="11"/>
        <color theme="1"/>
        <rFont val="Times New Roman"/>
        <family val="1"/>
        <charset val="238"/>
      </rPr>
      <t xml:space="preserve">извор финансирања 01 - приходи из буџета                    извор. Фин. 09 - примања од продаје нефинансијске имовине        </t>
    </r>
  </si>
  <si>
    <r>
      <t xml:space="preserve">Свега за Пројекат 0602-П1                                                </t>
    </r>
    <r>
      <rPr>
        <b/>
        <i/>
        <sz val="11"/>
        <color theme="1"/>
        <rFont val="Times New Roman"/>
        <family val="1"/>
        <charset val="238"/>
      </rPr>
      <t xml:space="preserve">извор фин. 09 - приходи од продаје неф. имовине -           извор фин. 06 - донације међунар. организац.     </t>
    </r>
  </si>
  <si>
    <r>
      <t xml:space="preserve">Свега   Раздео 5 -  ПРОГРАМ 1:                                   </t>
    </r>
    <r>
      <rPr>
        <b/>
        <i/>
        <sz val="11"/>
        <color theme="1"/>
        <rFont val="Times New Roman"/>
        <family val="1"/>
        <charset val="238"/>
      </rPr>
      <t xml:space="preserve">    извор фин. 13 - нерасп. вишак прихода ран. година          извор фин. 8 - добровољни трансфери  физ. и прав. лица </t>
    </r>
  </si>
  <si>
    <r>
      <t xml:space="preserve">Свега   Раздео  5 -  ПРОГРАМ 5:                                     </t>
    </r>
    <r>
      <rPr>
        <b/>
        <i/>
        <sz val="11"/>
        <color theme="1"/>
        <rFont val="Times New Roman"/>
        <family val="1"/>
        <charset val="238"/>
      </rPr>
      <t xml:space="preserve">извор фин. 01 - приходи из буџета                                   извор фин. 09 -примања од продаје нефин. имови.              извор фин. 07 - трансфери др. нивоа власти                    извор фин. 06 - донације од међун. организација     </t>
    </r>
  </si>
  <si>
    <r>
      <t xml:space="preserve">Свега за програмску активност 0701-0001                                         </t>
    </r>
    <r>
      <rPr>
        <b/>
        <i/>
        <sz val="11"/>
        <color theme="1"/>
        <rFont val="Times New Roman"/>
        <family val="1"/>
        <charset val="238"/>
      </rPr>
      <t xml:space="preserve">извор фин. 01 - приходи из буџета                                   извор фин. 09 -примања од продаје нефин. имовине               </t>
    </r>
  </si>
  <si>
    <r>
      <t xml:space="preserve">Свега за Пројекат 0701-П5                                                                                        </t>
    </r>
    <r>
      <rPr>
        <b/>
        <i/>
        <sz val="11"/>
        <color theme="1"/>
        <rFont val="Times New Roman"/>
        <family val="1"/>
        <charset val="238"/>
      </rPr>
      <t xml:space="preserve">извор фин. 13 -нер. вишак прихода из ранијих година-                               извор фин. 07 - трансфери других нивоа власти- </t>
    </r>
  </si>
  <si>
    <r>
      <t xml:space="preserve">Свега за Пројекат 0701-П7                                                  </t>
    </r>
    <r>
      <rPr>
        <b/>
        <i/>
        <sz val="11"/>
        <color theme="1"/>
        <rFont val="Times New Roman"/>
        <family val="1"/>
        <charset val="238"/>
      </rPr>
      <t xml:space="preserve">извор фин. 09  примања од продаје нефи. имовине           извор фин. 13  пренети приходи прет. године        </t>
    </r>
  </si>
  <si>
    <r>
      <t xml:space="preserve">Свега за Пројекат 0701-П8                                                                            </t>
    </r>
    <r>
      <rPr>
        <b/>
        <i/>
        <sz val="11"/>
        <color theme="1"/>
        <rFont val="Times New Roman"/>
        <family val="1"/>
        <charset val="238"/>
      </rPr>
      <t xml:space="preserve">                         извор фин. 13 нер. вишак прихода ран.х година               извор финансирања 09 примања од прод.неф.имовине        </t>
    </r>
  </si>
  <si>
    <r>
      <t xml:space="preserve">Свега за Пројекат 0701-П6                                                                                            </t>
    </r>
    <r>
      <rPr>
        <b/>
        <i/>
        <sz val="11"/>
        <color theme="1"/>
        <rFont val="Times New Roman"/>
        <family val="1"/>
        <charset val="238"/>
      </rPr>
      <t xml:space="preserve"> извор фин. 09 - примања од продаје неф. имовине                                                          </t>
    </r>
  </si>
  <si>
    <r>
      <t xml:space="preserve">Свега   Раздео  5 -  ПРОГРАМ  7:                                              </t>
    </r>
    <r>
      <rPr>
        <b/>
        <i/>
        <sz val="11"/>
        <color theme="1"/>
        <rFont val="Times New Roman"/>
        <family val="1"/>
        <charset val="238"/>
      </rPr>
      <t xml:space="preserve">извор финансирања. 01     - приходи из буџета                                                        извор финансирања  07     -   трансфери др.  нивоа власти                                                                                                                         извор финансирања 09     -   примања од продаје нефи. имов.                                                                  извор финансирања 13    -    нераспоређен вишак при. ран.г.                          </t>
    </r>
  </si>
  <si>
    <r>
      <t xml:space="preserve">Свега за пројекат 0401-П2                                                       </t>
    </r>
    <r>
      <rPr>
        <b/>
        <i/>
        <sz val="11"/>
        <color theme="1"/>
        <rFont val="Times New Roman"/>
        <family val="1"/>
        <charset val="238"/>
      </rPr>
      <t xml:space="preserve">извор фин. 09 - примања од продаје нефин. Имов.            </t>
    </r>
  </si>
  <si>
    <r>
      <t xml:space="preserve">Свега  Раздео 5.  - ПРОГРАМ 6:                                              </t>
    </r>
    <r>
      <rPr>
        <b/>
        <i/>
        <sz val="11"/>
        <color theme="1"/>
        <rFont val="Times New Roman"/>
        <family val="1"/>
        <charset val="238"/>
      </rPr>
      <t xml:space="preserve">извор финансирања 01 - приходи из буџета                                 извор фин. 09 - примања од продјане н.им.                                извор фин. 13 - нерасп. вишак прихода из пр. год.               </t>
    </r>
  </si>
  <si>
    <r>
      <t xml:space="preserve">Свега за програмску активност 1102-0008                         </t>
    </r>
    <r>
      <rPr>
        <b/>
        <i/>
        <sz val="11"/>
        <color theme="1"/>
        <rFont val="Times New Roman"/>
        <family val="1"/>
        <charset val="238"/>
      </rPr>
      <t xml:space="preserve">извор финансирања 01 - приходи из буџета                     извор фин. 13 - нерасп. вишак прихода из ранијих година              извор фин. 09 - примања од продаје нефин. имовине                            </t>
    </r>
  </si>
  <si>
    <r>
      <t xml:space="preserve">Свега за пројекат 1102-0008-П1                                           </t>
    </r>
    <r>
      <rPr>
        <b/>
        <i/>
        <sz val="11"/>
        <color theme="1"/>
        <rFont val="Times New Roman"/>
        <family val="1"/>
        <charset val="238"/>
      </rPr>
      <t xml:space="preserve">извор фин. 13 - нераспр. вишак прихода из ран. година    извор фин. 07 - трансфери других нивоа власти  </t>
    </r>
  </si>
  <si>
    <r>
      <t xml:space="preserve">Свега за програмску активност 1102-0001                        </t>
    </r>
    <r>
      <rPr>
        <b/>
        <i/>
        <sz val="11"/>
        <color theme="1"/>
        <rFont val="Times New Roman"/>
        <family val="1"/>
        <charset val="238"/>
      </rPr>
      <t xml:space="preserve">извор финансирања 01 - приходи из буџета                               извор фин. 09 - примања од продаје нефин. имовине  </t>
    </r>
  </si>
  <si>
    <r>
      <t xml:space="preserve">Свега   Раздео 5 -  ПРОГРАМ 2:                                      </t>
    </r>
    <r>
      <rPr>
        <b/>
        <i/>
        <sz val="11"/>
        <color theme="1"/>
        <rFont val="Times New Roman"/>
        <family val="1"/>
        <charset val="238"/>
      </rPr>
      <t xml:space="preserve">извор фин. 01 - приходи из буџета                                           извор фин. 07- трансфери других нивоа власти               извор фин. 13-нер.вишак прихода прет. година               извор фин. 09 - примања од продаје неф.имов.     </t>
    </r>
  </si>
  <si>
    <r>
      <t xml:space="preserve">Свега за програмску активност 1501-0001                           </t>
    </r>
    <r>
      <rPr>
        <b/>
        <i/>
        <sz val="11"/>
        <color theme="1"/>
        <rFont val="Times New Roman"/>
        <family val="1"/>
        <charset val="238"/>
      </rPr>
      <t xml:space="preserve">извор фин. 01 - приходи из буџета                                   извор фин.13 -пренети приходи претходих  година        </t>
    </r>
  </si>
  <si>
    <r>
      <t xml:space="preserve">Свега за програмску активност 1501-0002                           </t>
    </r>
    <r>
      <rPr>
        <b/>
        <i/>
        <sz val="11"/>
        <color theme="1"/>
        <rFont val="Times New Roman"/>
        <family val="1"/>
        <charset val="238"/>
      </rPr>
      <t xml:space="preserve"> извор фин.13 -пренети приходи претходних  година                        извор фин. 07- трансфери других нивоа власти                извор 06 - донације међународних организација                извор фин. 09 - примања од продаје неф. имовине               </t>
    </r>
    <r>
      <rPr>
        <b/>
        <sz val="11"/>
        <color theme="1"/>
        <rFont val="Times New Roman"/>
        <family val="1"/>
      </rPr>
      <t xml:space="preserve">        </t>
    </r>
  </si>
  <si>
    <r>
      <t xml:space="preserve">Свега  Раздео 5 -  ПРОГРАМ 3:                                        </t>
    </r>
    <r>
      <rPr>
        <b/>
        <i/>
        <sz val="11"/>
        <color theme="1"/>
        <rFont val="Times New Roman"/>
        <family val="1"/>
        <charset val="238"/>
      </rPr>
      <t xml:space="preserve">извор фин. 01 - приходи из буџета                                    извор фин. 09 - примања од продаје неф. имов.                   извор фин. 07 - трансфери др. нивоа власти                    извор фин.13 -пренети приходи претх. године     </t>
    </r>
  </si>
  <si>
    <r>
      <t xml:space="preserve">Свега за пројекат 1301-П1                                               </t>
    </r>
    <r>
      <rPr>
        <b/>
        <i/>
        <sz val="11"/>
        <color theme="1"/>
        <rFont val="Times New Roman"/>
        <family val="1"/>
        <charset val="238"/>
      </rPr>
      <t xml:space="preserve">извор фин. 09 - примања од продаје имовине                    извор фин. 07 - трансфери других нивоа власти- </t>
    </r>
  </si>
  <si>
    <r>
      <t xml:space="preserve">Свега за пројекат 1301-П2                                               </t>
    </r>
    <r>
      <rPr>
        <b/>
        <i/>
        <sz val="11"/>
        <color theme="1"/>
        <rFont val="Times New Roman"/>
        <family val="1"/>
        <charset val="238"/>
      </rPr>
      <t xml:space="preserve">извор фин. 01 - приходи буџета Општине                      извор фин. 07 - трансфери других нивоа власти- </t>
    </r>
  </si>
  <si>
    <r>
      <t xml:space="preserve">Свега  Раздео  5.  ПРОГРАМ 14                                       </t>
    </r>
    <r>
      <rPr>
        <b/>
        <i/>
        <sz val="11"/>
        <color theme="1"/>
        <rFont val="Times New Roman"/>
        <family val="1"/>
        <charset val="238"/>
      </rPr>
      <t xml:space="preserve">извор финан, 01 - приходи из буџета                               извор финан, 07 - трансфери других нивоа власти          извор финан. 09 - примања од продаје  нефинансијске имо.      </t>
    </r>
  </si>
  <si>
    <r>
      <t xml:space="preserve">Свега   Раздео  5 -  ПРОГРАМ 8:                                      </t>
    </r>
    <r>
      <rPr>
        <b/>
        <i/>
        <sz val="11"/>
        <color theme="1"/>
        <rFont val="Times New Roman"/>
        <family val="1"/>
        <charset val="238"/>
      </rPr>
      <t>извор фин. 13 -нер. вишак прихода из ран.година-           извор фин. 07 - трансфери других нивоа власти</t>
    </r>
    <r>
      <rPr>
        <b/>
        <sz val="11"/>
        <color theme="1"/>
        <rFont val="Times New Roman"/>
        <family val="1"/>
      </rPr>
      <t xml:space="preserve">  </t>
    </r>
    <r>
      <rPr>
        <b/>
        <i/>
        <sz val="11"/>
        <color theme="1"/>
        <rFont val="Times New Roman"/>
        <family val="1"/>
        <charset val="238"/>
      </rPr>
      <t xml:space="preserve">-  </t>
    </r>
  </si>
  <si>
    <r>
      <t xml:space="preserve">СВЕГА  РАЗДЕО 5.      ОПШТИНСКА УПРАВА                                         </t>
    </r>
    <r>
      <rPr>
        <b/>
        <i/>
        <sz val="11"/>
        <color theme="1"/>
        <rFont val="Times New Roman"/>
        <family val="1"/>
        <charset val="238"/>
      </rPr>
      <t>извор фин. 01- приходи из буџета                                                         извор фин. 07 - трансфери других нивоа власти              извор фин. 08 - добровољни трансфери   физ. и прав. лица                 извор фин. 09 -примања од продаје неф. имовине                      извор фин. 13 - нерасп. вишак прихода ранијих година</t>
    </r>
  </si>
  <si>
    <t xml:space="preserve">Текући трансфери основном образовању                       ОШ Бранко Радичевић    7,633.576,76                                             ОШ Свети Сава              11,056.448,61                                               ОШ Вук Караџић             5,460.835,18                                                        ОШ Радомир Путник       3,153.816,74   </t>
  </si>
  <si>
    <t xml:space="preserve">Капитални трансфери средњем образовању                       Гимназија Јован Скерлић        408.562,60                                               Техничка школа                      138.170,00                                       </t>
  </si>
  <si>
    <t>Капитални трансфери основном образовању                       ОШ Бранко Радичевић            601.650,00                                               ОШ Свети Сава                    3,802.870,20                                                  ОШ Вук Караџић                    337.835,89                                                  ОШ Радомир Путник                12.200,00</t>
  </si>
  <si>
    <t xml:space="preserve">Текући трансфери средњем образовању                       Гимназија Јован Скерлић      4,219.898.38                                               Техничка школа                   7,704.746,26                                            </t>
  </si>
</sst>
</file>

<file path=xl/styles.xml><?xml version="1.0" encoding="utf-8"?>
<styleSheet xmlns="http://schemas.openxmlformats.org/spreadsheetml/2006/main">
  <numFmts count="7">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_-* #,##0.00\ _D_i_n_._-;\-* #,##0.00\ _D_i_n_._-;_-* \-??\ _D_i_n_._-;_-@_-"/>
    <numFmt numFmtId="170" formatCode="_-* #,##0.00\ _d_i_n_._-;\-* #,##0.00\ _d_i_n_._-;_-* &quot;-&quot;\ _d_i_n_._-;_-@_-"/>
  </numFmts>
  <fonts count="74">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b/>
      <sz val="8"/>
      <color indexed="8"/>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11"/>
      <color theme="1"/>
      <name val="Times New Roman"/>
      <family val="1"/>
      <charset val="238"/>
    </font>
    <font>
      <b/>
      <u/>
      <sz val="12"/>
      <name val="Times New Roman"/>
      <family val="1"/>
    </font>
    <font>
      <sz val="9"/>
      <color theme="1"/>
      <name val="Times New Roman"/>
      <family val="1"/>
    </font>
    <font>
      <b/>
      <sz val="12"/>
      <color theme="1"/>
      <name val="Times New Roman"/>
      <family val="1"/>
      <charset val="238"/>
    </font>
    <font>
      <b/>
      <sz val="11"/>
      <color theme="1"/>
      <name val="Times New Roman"/>
      <family val="1"/>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b/>
      <sz val="8"/>
      <name val="Times New Roman"/>
      <family val="1"/>
      <charset val="238"/>
    </font>
    <font>
      <b/>
      <sz val="10"/>
      <color theme="1"/>
      <name val="Times New Roman"/>
      <family val="1"/>
      <charset val="238"/>
    </font>
    <font>
      <i/>
      <sz val="11"/>
      <color theme="1"/>
      <name val="Times New Roman"/>
      <family val="1"/>
      <charset val="238"/>
    </font>
    <font>
      <b/>
      <sz val="10"/>
      <name val="Times New Roman"/>
      <family val="1"/>
      <charset val="238"/>
    </font>
  </fonts>
  <fills count="5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34998626667073579"/>
        <bgColor indexed="64"/>
      </patternFill>
    </fill>
  </fills>
  <borders count="1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4" fillId="0" borderId="0"/>
    <xf numFmtId="164" fontId="30" fillId="0" borderId="0" applyFont="0" applyFill="0" applyBorder="0" applyAlignment="0" applyProtection="0"/>
    <xf numFmtId="0" fontId="30" fillId="0" borderId="0"/>
    <xf numFmtId="0" fontId="7" fillId="20" borderId="29" applyNumberFormat="0" applyAlignment="0" applyProtection="0"/>
    <xf numFmtId="0" fontId="14" fillId="7" borderId="29" applyNumberFormat="0" applyAlignment="0" applyProtection="0"/>
    <xf numFmtId="0" fontId="3" fillId="23" borderId="30" applyNumberFormat="0" applyAlignment="0" applyProtection="0"/>
    <xf numFmtId="0" fontId="17" fillId="20" borderId="31" applyNumberFormat="0" applyAlignment="0" applyProtection="0"/>
    <xf numFmtId="0" fontId="19" fillId="0" borderId="32" applyNumberFormat="0" applyFill="0" applyAlignment="0" applyProtection="0"/>
    <xf numFmtId="0" fontId="7" fillId="20" borderId="36" applyNumberFormat="0" applyAlignment="0" applyProtection="0"/>
    <xf numFmtId="0" fontId="14" fillId="7" borderId="36" applyNumberFormat="0" applyAlignment="0" applyProtection="0"/>
    <xf numFmtId="0" fontId="3" fillId="23" borderId="37" applyNumberFormat="0" applyAlignment="0" applyProtection="0"/>
    <xf numFmtId="0" fontId="17" fillId="20" borderId="38" applyNumberFormat="0" applyAlignment="0" applyProtection="0"/>
    <xf numFmtId="0" fontId="19" fillId="0" borderId="39" applyNumberFormat="0" applyFill="0" applyAlignment="0" applyProtection="0"/>
  </cellStyleXfs>
  <cellXfs count="1337">
    <xf numFmtId="0" fontId="0" fillId="0" borderId="0" xfId="0"/>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1" fillId="0" borderId="0" xfId="0" applyFont="1"/>
    <xf numFmtId="0" fontId="37" fillId="6" borderId="11" xfId="1" applyFont="1" applyFill="1" applyBorder="1" applyAlignment="1">
      <alignment horizontal="center" vertical="center" wrapText="1"/>
    </xf>
    <xf numFmtId="49" fontId="43" fillId="0" borderId="11" xfId="1" applyNumberFormat="1" applyFont="1" applyFill="1" applyBorder="1" applyAlignment="1">
      <alignment horizontal="center" vertical="center" wrapText="1"/>
    </xf>
    <xf numFmtId="0" fontId="41" fillId="0" borderId="18" xfId="0" applyFont="1" applyBorder="1" applyAlignment="1">
      <alignment horizontal="center"/>
    </xf>
    <xf numFmtId="0" fontId="41" fillId="0" borderId="18" xfId="0" applyFont="1" applyBorder="1"/>
    <xf numFmtId="0" fontId="42" fillId="0" borderId="0" xfId="0" applyFont="1"/>
    <xf numFmtId="49" fontId="41" fillId="0" borderId="18" xfId="0" applyNumberFormat="1" applyFont="1" applyBorder="1" applyAlignment="1" applyProtection="1">
      <alignment horizontal="center" vertical="center"/>
    </xf>
    <xf numFmtId="49" fontId="41" fillId="0" borderId="18" xfId="0" applyNumberFormat="1" applyFont="1" applyBorder="1" applyAlignment="1" applyProtection="1">
      <alignment horizontal="center" vertical="top"/>
    </xf>
    <xf numFmtId="49" fontId="38" fillId="0" borderId="23" xfId="0" applyNumberFormat="1" applyFont="1" applyFill="1" applyBorder="1" applyAlignment="1">
      <alignment horizontal="center" vertical="center"/>
    </xf>
    <xf numFmtId="49" fontId="40" fillId="20" borderId="23" xfId="0" applyNumberFormat="1" applyFont="1" applyFill="1" applyBorder="1" applyAlignment="1">
      <alignment horizontal="left" vertical="center"/>
    </xf>
    <xf numFmtId="0" fontId="47" fillId="20" borderId="23" xfId="0" applyFont="1" applyFill="1" applyBorder="1"/>
    <xf numFmtId="0" fontId="38" fillId="0" borderId="23" xfId="0" applyFont="1" applyFill="1" applyBorder="1" applyAlignment="1">
      <alignment horizontal="left" vertical="center" wrapText="1"/>
    </xf>
    <xf numFmtId="49" fontId="40" fillId="20" borderId="23" xfId="0" applyNumberFormat="1" applyFont="1" applyFill="1" applyBorder="1" applyAlignment="1">
      <alignment horizontal="left"/>
    </xf>
    <xf numFmtId="0" fontId="40" fillId="20" borderId="23" xfId="0" applyFont="1" applyFill="1" applyBorder="1" applyAlignment="1">
      <alignment horizontal="left" wrapText="1"/>
    </xf>
    <xf numFmtId="49" fontId="38" fillId="0" borderId="23" xfId="0" applyNumberFormat="1" applyFont="1" applyFill="1" applyBorder="1" applyAlignment="1">
      <alignment horizontal="center"/>
    </xf>
    <xf numFmtId="0" fontId="38" fillId="0" borderId="23" xfId="0" applyFont="1" applyFill="1" applyBorder="1" applyAlignment="1">
      <alignment horizontal="left" wrapText="1"/>
    </xf>
    <xf numFmtId="49" fontId="38" fillId="0" borderId="23" xfId="0" applyNumberFormat="1" applyFont="1" applyFill="1" applyBorder="1" applyAlignment="1">
      <alignment horizontal="right"/>
    </xf>
    <xf numFmtId="0" fontId="47" fillId="20" borderId="23" xfId="0" applyFont="1" applyFill="1" applyBorder="1" applyAlignment="1">
      <alignment wrapText="1"/>
    </xf>
    <xf numFmtId="0" fontId="48" fillId="0" borderId="23" xfId="0" applyFont="1" applyFill="1" applyBorder="1" applyAlignment="1">
      <alignment wrapText="1"/>
    </xf>
    <xf numFmtId="49" fontId="38" fillId="0" borderId="23" xfId="0" applyNumberFormat="1" applyFont="1" applyFill="1" applyBorder="1" applyAlignment="1">
      <alignment horizontal="right" vertical="center"/>
    </xf>
    <xf numFmtId="49" fontId="40" fillId="29" borderId="23" xfId="0" applyNumberFormat="1" applyFont="1" applyFill="1" applyBorder="1" applyAlignment="1">
      <alignment horizontal="left"/>
    </xf>
    <xf numFmtId="0" fontId="47" fillId="29" borderId="23" xfId="0" applyFont="1" applyFill="1" applyBorder="1" applyAlignment="1">
      <alignment wrapText="1"/>
    </xf>
    <xf numFmtId="0" fontId="40" fillId="26" borderId="23" xfId="0" applyFont="1" applyFill="1" applyBorder="1" applyAlignment="1">
      <alignment horizontal="left"/>
    </xf>
    <xf numFmtId="0" fontId="47" fillId="26" borderId="23" xfId="0" applyFont="1" applyFill="1" applyBorder="1" applyAlignment="1">
      <alignment wrapText="1"/>
    </xf>
    <xf numFmtId="49" fontId="40" fillId="20" borderId="23" xfId="0" applyNumberFormat="1" applyFont="1" applyFill="1" applyBorder="1" applyAlignment="1">
      <alignment horizontal="left" vertical="center" wrapText="1"/>
    </xf>
    <xf numFmtId="49" fontId="38" fillId="4" borderId="24" xfId="0" applyNumberFormat="1" applyFont="1" applyFill="1" applyBorder="1" applyAlignment="1">
      <alignment horizontal="center"/>
    </xf>
    <xf numFmtId="0" fontId="40" fillId="4" borderId="24" xfId="0" applyFont="1" applyFill="1" applyBorder="1" applyAlignment="1">
      <alignment horizontal="center" vertical="center"/>
    </xf>
    <xf numFmtId="49" fontId="38" fillId="0" borderId="0" xfId="0" applyNumberFormat="1" applyFont="1" applyBorder="1" applyAlignment="1">
      <alignment horizontal="center" vertical="center" wrapText="1"/>
    </xf>
    <xf numFmtId="0" fontId="38" fillId="0" borderId="0" xfId="0" applyFont="1" applyBorder="1" applyAlignment="1">
      <alignment horizontal="left" vertical="center" wrapText="1"/>
    </xf>
    <xf numFmtId="169" fontId="38" fillId="0" borderId="0" xfId="29" applyNumberFormat="1" applyFont="1" applyFill="1" applyBorder="1" applyAlignment="1" applyProtection="1">
      <alignment horizontal="right" vertical="center" wrapText="1"/>
    </xf>
    <xf numFmtId="0" fontId="40" fillId="0" borderId="0" xfId="0" applyFont="1"/>
    <xf numFmtId="0" fontId="40" fillId="0" borderId="0" xfId="0" applyFont="1" applyAlignment="1">
      <alignment horizontal="left"/>
    </xf>
    <xf numFmtId="0" fontId="40" fillId="0" borderId="0" xfId="0" applyFont="1" applyAlignment="1">
      <alignment horizontal="right" vertical="center" wrapText="1"/>
    </xf>
    <xf numFmtId="0" fontId="38" fillId="0" borderId="0" xfId="0" applyFont="1"/>
    <xf numFmtId="168" fontId="38" fillId="0" borderId="0" xfId="0" applyNumberFormat="1" applyFont="1" applyFill="1"/>
    <xf numFmtId="0" fontId="50" fillId="0" borderId="11" xfId="0" applyNumberFormat="1" applyFont="1" applyBorder="1" applyAlignment="1">
      <alignment horizontal="center" wrapText="1"/>
    </xf>
    <xf numFmtId="0" fontId="51" fillId="0" borderId="11" xfId="0" applyNumberFormat="1" applyFont="1" applyBorder="1" applyAlignment="1">
      <alignment horizontal="center" wrapText="1"/>
    </xf>
    <xf numFmtId="165" fontId="41" fillId="0" borderId="0" xfId="0" applyNumberFormat="1" applyFont="1" applyAlignment="1">
      <alignment wrapText="1"/>
    </xf>
    <xf numFmtId="49" fontId="37" fillId="25" borderId="18" xfId="0" applyNumberFormat="1" applyFont="1" applyFill="1" applyBorder="1" applyAlignment="1">
      <alignment horizontal="center" wrapText="1"/>
    </xf>
    <xf numFmtId="49" fontId="37" fillId="25" borderId="18" xfId="0" applyNumberFormat="1" applyFont="1" applyFill="1" applyBorder="1" applyAlignment="1">
      <alignment horizontal="left" vertical="center" wrapText="1"/>
    </xf>
    <xf numFmtId="165" fontId="37" fillId="25" borderId="18" xfId="29" applyNumberFormat="1" applyFont="1" applyFill="1" applyBorder="1" applyAlignment="1" applyProtection="1">
      <alignment horizontal="right" vertical="center" wrapText="1"/>
    </xf>
    <xf numFmtId="49" fontId="37" fillId="26" borderId="18" xfId="0" applyNumberFormat="1" applyFont="1" applyFill="1" applyBorder="1" applyAlignment="1">
      <alignment horizontal="left" wrapText="1"/>
    </xf>
    <xf numFmtId="49" fontId="37" fillId="26" borderId="18" xfId="0" applyNumberFormat="1" applyFont="1" applyFill="1" applyBorder="1" applyAlignment="1">
      <alignment horizontal="center" wrapText="1"/>
    </xf>
    <xf numFmtId="49" fontId="37" fillId="26" borderId="18" xfId="0" applyNumberFormat="1" applyFont="1" applyFill="1" applyBorder="1" applyAlignment="1">
      <alignment horizontal="left" vertical="center" wrapText="1"/>
    </xf>
    <xf numFmtId="165" fontId="37" fillId="26" borderId="18" xfId="29" applyNumberFormat="1" applyFont="1" applyFill="1" applyBorder="1" applyAlignment="1" applyProtection="1">
      <alignment horizontal="right" vertical="center" wrapText="1"/>
    </xf>
    <xf numFmtId="0" fontId="37" fillId="27" borderId="18" xfId="0" applyFont="1" applyFill="1" applyBorder="1" applyAlignment="1">
      <alignment horizontal="center" vertical="center" wrapText="1"/>
    </xf>
    <xf numFmtId="0" fontId="37" fillId="27" borderId="18" xfId="0" applyFont="1" applyFill="1" applyBorder="1" applyAlignment="1">
      <alignment horizontal="left" vertical="center" wrapText="1"/>
    </xf>
    <xf numFmtId="165" fontId="37" fillId="27" borderId="18" xfId="29" applyNumberFormat="1" applyFont="1" applyFill="1" applyBorder="1" applyAlignment="1" applyProtection="1">
      <alignment horizontal="right" vertical="center" wrapText="1"/>
    </xf>
    <xf numFmtId="0" fontId="37" fillId="22" borderId="18" xfId="0" applyFont="1" applyFill="1" applyBorder="1" applyAlignment="1">
      <alignment horizontal="right" vertical="center" wrapText="1"/>
    </xf>
    <xf numFmtId="0" fontId="52" fillId="22" borderId="18" xfId="0" applyFont="1" applyFill="1" applyBorder="1" applyAlignment="1">
      <alignment horizontal="center" vertical="center" wrapText="1"/>
    </xf>
    <xf numFmtId="0" fontId="37" fillId="22" borderId="18" xfId="0" applyFont="1" applyFill="1" applyBorder="1" applyAlignment="1">
      <alignment vertical="center" wrapText="1"/>
    </xf>
    <xf numFmtId="165" fontId="37" fillId="22" borderId="18" xfId="29" applyNumberFormat="1" applyFont="1" applyFill="1" applyBorder="1" applyAlignment="1" applyProtection="1">
      <alignment horizontal="right" vertical="center" wrapText="1"/>
    </xf>
    <xf numFmtId="0" fontId="52" fillId="0" borderId="18" xfId="0" applyFont="1" applyFill="1" applyBorder="1" applyAlignment="1">
      <alignment horizontal="center" vertical="center" wrapText="1"/>
    </xf>
    <xf numFmtId="0" fontId="52" fillId="0" borderId="18" xfId="0" applyFont="1" applyBorder="1" applyAlignment="1">
      <alignment vertical="center" wrapText="1"/>
    </xf>
    <xf numFmtId="165" fontId="52" fillId="0" borderId="18" xfId="29" applyNumberFormat="1" applyFont="1" applyFill="1" applyBorder="1" applyAlignment="1" applyProtection="1">
      <alignment horizontal="right" vertical="center" wrapText="1"/>
    </xf>
    <xf numFmtId="0" fontId="37" fillId="0" borderId="18" xfId="0" applyFont="1" applyFill="1" applyBorder="1" applyAlignment="1">
      <alignment horizontal="center" vertical="center" wrapText="1"/>
    </xf>
    <xf numFmtId="0" fontId="37" fillId="22" borderId="18" xfId="0" applyFont="1" applyFill="1" applyBorder="1" applyAlignment="1">
      <alignment horizontal="center" vertical="center" wrapText="1"/>
    </xf>
    <xf numFmtId="0" fontId="52" fillId="0" borderId="18" xfId="0" applyFont="1" applyFill="1" applyBorder="1" applyAlignment="1">
      <alignment vertical="center" wrapText="1"/>
    </xf>
    <xf numFmtId="49" fontId="52" fillId="0" borderId="18" xfId="0" applyNumberFormat="1" applyFont="1" applyFill="1" applyBorder="1" applyAlignment="1">
      <alignment horizontal="center" vertical="center" wrapText="1"/>
    </xf>
    <xf numFmtId="49" fontId="37" fillId="22" borderId="18" xfId="0" applyNumberFormat="1" applyFont="1" applyFill="1" applyBorder="1" applyAlignment="1">
      <alignment horizontal="right" vertical="center" wrapText="1"/>
    </xf>
    <xf numFmtId="49" fontId="52" fillId="22" borderId="18" xfId="0" applyNumberFormat="1" applyFont="1" applyFill="1" applyBorder="1" applyAlignment="1">
      <alignment horizontal="center" vertical="center" wrapText="1"/>
    </xf>
    <xf numFmtId="49" fontId="37" fillId="22" borderId="18" xfId="0" applyNumberFormat="1" applyFont="1" applyFill="1" applyBorder="1" applyAlignment="1">
      <alignment vertical="center" wrapText="1"/>
    </xf>
    <xf numFmtId="49" fontId="37" fillId="27" borderId="18" xfId="0" applyNumberFormat="1" applyFont="1" applyFill="1" applyBorder="1" applyAlignment="1">
      <alignment horizontal="center" vertical="center" wrapText="1"/>
    </xf>
    <xf numFmtId="49" fontId="52" fillId="27" borderId="18" xfId="0" applyNumberFormat="1" applyFont="1" applyFill="1" applyBorder="1" applyAlignment="1">
      <alignment horizontal="center" vertical="center" wrapText="1"/>
    </xf>
    <xf numFmtId="49" fontId="37" fillId="27" borderId="18" xfId="0" applyNumberFormat="1" applyFont="1" applyFill="1" applyBorder="1" applyAlignment="1">
      <alignment vertical="center" wrapText="1"/>
    </xf>
    <xf numFmtId="49" fontId="52" fillId="0" borderId="18" xfId="0" applyNumberFormat="1" applyFont="1" applyFill="1" applyBorder="1" applyAlignment="1">
      <alignment vertical="center" wrapText="1"/>
    </xf>
    <xf numFmtId="49" fontId="37" fillId="0" borderId="18" xfId="0" applyNumberFormat="1" applyFont="1" applyFill="1" applyBorder="1" applyAlignment="1">
      <alignment horizontal="center" vertical="center" wrapText="1"/>
    </xf>
    <xf numFmtId="0" fontId="52" fillId="0" borderId="18" xfId="0" applyFont="1" applyBorder="1" applyAlignment="1">
      <alignment horizontal="center"/>
    </xf>
    <xf numFmtId="0" fontId="52" fillId="0" borderId="18" xfId="0" applyFont="1" applyBorder="1"/>
    <xf numFmtId="49" fontId="37" fillId="28" borderId="18" xfId="0" applyNumberFormat="1" applyFont="1" applyFill="1" applyBorder="1" applyAlignment="1">
      <alignment horizontal="center" vertical="center" wrapText="1"/>
    </xf>
    <xf numFmtId="49" fontId="52" fillId="28" borderId="18" xfId="0" applyNumberFormat="1" applyFont="1" applyFill="1" applyBorder="1" applyAlignment="1">
      <alignment horizontal="center" vertical="center" wrapText="1"/>
    </xf>
    <xf numFmtId="49" fontId="37" fillId="28" borderId="18" xfId="0" applyNumberFormat="1" applyFont="1" applyFill="1" applyBorder="1" applyAlignment="1">
      <alignment vertical="center" wrapText="1"/>
    </xf>
    <xf numFmtId="165" fontId="37" fillId="28" borderId="18" xfId="29" applyNumberFormat="1" applyFont="1" applyFill="1" applyBorder="1" applyAlignment="1" applyProtection="1">
      <alignment horizontal="right" vertical="center" wrapText="1"/>
    </xf>
    <xf numFmtId="49" fontId="37" fillId="20" borderId="18" xfId="0" applyNumberFormat="1" applyFont="1" applyFill="1" applyBorder="1" applyAlignment="1">
      <alignment horizontal="left" vertical="center" wrapText="1"/>
    </xf>
    <xf numFmtId="49" fontId="52" fillId="20" borderId="18" xfId="0" applyNumberFormat="1" applyFont="1" applyFill="1" applyBorder="1" applyAlignment="1">
      <alignment horizontal="center" vertical="center" wrapText="1"/>
    </xf>
    <xf numFmtId="49" fontId="37" fillId="20" borderId="18" xfId="0" applyNumberFormat="1" applyFont="1" applyFill="1" applyBorder="1" applyAlignment="1">
      <alignment vertical="center" wrapText="1"/>
    </xf>
    <xf numFmtId="165" fontId="37" fillId="20" borderId="18" xfId="29" applyNumberFormat="1" applyFont="1" applyFill="1" applyBorder="1" applyAlignment="1" applyProtection="1">
      <alignment horizontal="right" vertical="center" wrapText="1"/>
    </xf>
    <xf numFmtId="0" fontId="37" fillId="28" borderId="18" xfId="0" applyFont="1" applyFill="1" applyBorder="1" applyAlignment="1">
      <alignment horizontal="center" vertical="center" wrapText="1"/>
    </xf>
    <xf numFmtId="0" fontId="37" fillId="28" borderId="18" xfId="0" applyFont="1" applyFill="1" applyBorder="1"/>
    <xf numFmtId="0" fontId="37" fillId="28" borderId="18" xfId="0" applyFont="1" applyFill="1" applyBorder="1" applyAlignment="1">
      <alignment horizontal="center" vertical="top" wrapText="1"/>
    </xf>
    <xf numFmtId="0" fontId="37" fillId="28" borderId="18" xfId="0" applyFont="1" applyFill="1" applyBorder="1" applyAlignment="1">
      <alignment wrapText="1"/>
    </xf>
    <xf numFmtId="165" fontId="37" fillId="28" borderId="18" xfId="0" applyNumberFormat="1" applyFont="1" applyFill="1" applyBorder="1" applyAlignment="1">
      <alignment horizontal="right" vertical="top" wrapText="1"/>
    </xf>
    <xf numFmtId="0" fontId="52" fillId="20" borderId="18" xfId="0" applyFont="1" applyFill="1" applyBorder="1"/>
    <xf numFmtId="0" fontId="37" fillId="20" borderId="18" xfId="0" applyFont="1" applyFill="1" applyBorder="1"/>
    <xf numFmtId="49" fontId="37" fillId="25" borderId="18" xfId="0" applyNumberFormat="1" applyFont="1" applyFill="1" applyBorder="1" applyAlignment="1">
      <alignment horizontal="center" vertical="center" wrapText="1"/>
    </xf>
    <xf numFmtId="49" fontId="37" fillId="25" borderId="18" xfId="0" applyNumberFormat="1" applyFont="1" applyFill="1" applyBorder="1" applyAlignment="1">
      <alignment vertical="center" wrapText="1"/>
    </xf>
    <xf numFmtId="0" fontId="39" fillId="0" borderId="0" xfId="0" applyFont="1" applyAlignment="1">
      <alignment horizontal="center"/>
    </xf>
    <xf numFmtId="0" fontId="39" fillId="0" borderId="0" xfId="0" applyFont="1" applyAlignment="1">
      <alignment vertical="center" wrapText="1"/>
    </xf>
    <xf numFmtId="165" fontId="39" fillId="30" borderId="0" xfId="0" applyNumberFormat="1" applyFont="1" applyFill="1" applyAlignment="1">
      <alignment horizontal="right"/>
    </xf>
    <xf numFmtId="0" fontId="52" fillId="32" borderId="18" xfId="0" applyFont="1" applyFill="1" applyBorder="1" applyAlignment="1">
      <alignment horizontal="center"/>
    </xf>
    <xf numFmtId="0" fontId="37" fillId="32" borderId="18" xfId="0" applyFont="1" applyFill="1" applyBorder="1" applyAlignment="1">
      <alignment horizontal="center" vertical="center" wrapText="1"/>
    </xf>
    <xf numFmtId="0" fontId="37" fillId="32" borderId="18" xfId="0" applyFont="1" applyFill="1" applyBorder="1" applyAlignment="1">
      <alignment vertical="center" wrapText="1"/>
    </xf>
    <xf numFmtId="165" fontId="37" fillId="32" borderId="18" xfId="0" applyNumberFormat="1" applyFont="1" applyFill="1" applyBorder="1" applyAlignment="1">
      <alignment horizontal="right" vertical="center" wrapText="1"/>
    </xf>
    <xf numFmtId="0" fontId="23" fillId="0" borderId="27" xfId="1" applyFont="1" applyFill="1" applyBorder="1" applyAlignment="1">
      <alignment horizontal="center" vertical="center" wrapText="1"/>
    </xf>
    <xf numFmtId="0" fontId="38" fillId="0" borderId="28" xfId="0" applyFont="1" applyFill="1" applyBorder="1" applyAlignment="1">
      <alignment horizontal="center" vertical="center" wrapText="1"/>
    </xf>
    <xf numFmtId="0" fontId="41" fillId="0" borderId="11" xfId="0" applyFont="1" applyBorder="1" applyAlignment="1">
      <alignment horizontal="center"/>
    </xf>
    <xf numFmtId="0" fontId="41" fillId="0" borderId="11" xfId="0" applyFont="1" applyBorder="1"/>
    <xf numFmtId="0" fontId="42" fillId="31" borderId="11" xfId="0" applyFont="1" applyFill="1" applyBorder="1"/>
    <xf numFmtId="0" fontId="41" fillId="0" borderId="11" xfId="0" applyFont="1" applyFill="1" applyBorder="1"/>
    <xf numFmtId="0" fontId="41" fillId="0" borderId="0" xfId="0" applyFont="1" applyAlignment="1">
      <alignment horizontal="center" vertical="center"/>
    </xf>
    <xf numFmtId="0" fontId="42" fillId="0" borderId="0" xfId="0" applyFont="1" applyAlignment="1">
      <alignment horizontal="center" vertical="center"/>
    </xf>
    <xf numFmtId="49" fontId="41" fillId="0" borderId="0" xfId="0" applyNumberFormat="1" applyFont="1" applyAlignment="1">
      <alignment horizontal="left" vertical="center"/>
    </xf>
    <xf numFmtId="0" fontId="41" fillId="0" borderId="0" xfId="0" applyFont="1" applyBorder="1" applyAlignment="1">
      <alignment horizontal="center" vertical="center"/>
    </xf>
    <xf numFmtId="49" fontId="42" fillId="0" borderId="0" xfId="0" applyNumberFormat="1" applyFont="1" applyAlignment="1">
      <alignment horizontal="left" vertical="center"/>
    </xf>
    <xf numFmtId="0" fontId="41" fillId="0" borderId="0" xfId="0" applyFont="1" applyAlignment="1">
      <alignment vertical="center" wrapText="1"/>
    </xf>
    <xf numFmtId="0" fontId="42" fillId="0" borderId="0" xfId="0" applyFont="1" applyBorder="1" applyAlignment="1">
      <alignment horizontal="center" vertical="center"/>
    </xf>
    <xf numFmtId="0" fontId="41" fillId="0" borderId="0" xfId="0" applyFont="1" applyBorder="1"/>
    <xf numFmtId="0" fontId="54" fillId="0" borderId="0" xfId="0" applyFont="1" applyFill="1" applyBorder="1" applyAlignment="1">
      <alignment horizontal="left" vertical="center" wrapText="1"/>
    </xf>
    <xf numFmtId="3" fontId="54" fillId="0" borderId="0" xfId="49" applyNumberFormat="1" applyFont="1" applyFill="1" applyBorder="1" applyAlignment="1">
      <alignment horizontal="left" vertical="center" wrapText="1"/>
    </xf>
    <xf numFmtId="0" fontId="41" fillId="0" borderId="0" xfId="0" applyFont="1" applyAlignment="1">
      <alignment horizontal="left"/>
    </xf>
    <xf numFmtId="0" fontId="42" fillId="0" borderId="0" xfId="0" applyFont="1" applyBorder="1" applyAlignment="1">
      <alignment horizontal="left" vertical="center"/>
    </xf>
    <xf numFmtId="3" fontId="36"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5"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5" fillId="0" borderId="25" xfId="0" applyFont="1" applyFill="1" applyBorder="1" applyProtection="1"/>
    <xf numFmtId="0" fontId="41" fillId="0" borderId="34" xfId="0" applyFont="1" applyBorder="1" applyAlignment="1">
      <alignment horizontal="center"/>
    </xf>
    <xf numFmtId="0" fontId="41" fillId="0" borderId="19" xfId="0" applyFont="1" applyBorder="1" applyAlignment="1">
      <alignment horizontal="center"/>
    </xf>
    <xf numFmtId="0" fontId="41" fillId="0" borderId="19" xfId="0" applyFont="1" applyBorder="1"/>
    <xf numFmtId="49" fontId="42" fillId="31" borderId="11" xfId="0" applyNumberFormat="1" applyFont="1" applyFill="1" applyBorder="1" applyAlignment="1" applyProtection="1">
      <alignment horizontal="center" vertical="top"/>
    </xf>
    <xf numFmtId="49" fontId="42" fillId="31" borderId="11" xfId="0" applyNumberFormat="1" applyFont="1" applyFill="1" applyBorder="1" applyAlignment="1" applyProtection="1">
      <alignment horizontal="left" vertical="top"/>
    </xf>
    <xf numFmtId="0" fontId="44" fillId="31" borderId="11" xfId="0" applyFont="1" applyFill="1" applyBorder="1" applyAlignment="1" applyProtection="1">
      <alignment vertical="top"/>
    </xf>
    <xf numFmtId="49" fontId="41" fillId="0" borderId="19" xfId="0" applyNumberFormat="1" applyFont="1" applyBorder="1" applyAlignment="1" applyProtection="1">
      <alignment horizontal="center" vertical="center"/>
    </xf>
    <xf numFmtId="49" fontId="41" fillId="0" borderId="34" xfId="0" applyNumberFormat="1" applyFont="1" applyBorder="1" applyAlignment="1" applyProtection="1">
      <alignment horizontal="center" vertical="top"/>
    </xf>
    <xf numFmtId="49" fontId="41" fillId="0" borderId="19" xfId="0" applyNumberFormat="1" applyFont="1" applyBorder="1" applyAlignment="1" applyProtection="1">
      <alignment horizontal="center" vertical="top"/>
    </xf>
    <xf numFmtId="0" fontId="45" fillId="0" borderId="19" xfId="0" applyFont="1" applyFill="1" applyBorder="1" applyProtection="1"/>
    <xf numFmtId="0" fontId="52" fillId="35" borderId="18" xfId="0" applyFont="1" applyFill="1" applyBorder="1" applyAlignment="1">
      <alignment horizontal="center" vertical="center" wrapText="1"/>
    </xf>
    <xf numFmtId="49" fontId="52" fillId="35" borderId="18" xfId="0" applyNumberFormat="1" applyFont="1" applyFill="1" applyBorder="1" applyAlignment="1">
      <alignment horizontal="center" vertical="center" wrapText="1"/>
    </xf>
    <xf numFmtId="0" fontId="52" fillId="36" borderId="18" xfId="0" applyFont="1" applyFill="1" applyBorder="1" applyAlignment="1">
      <alignment horizontal="center" vertical="center" wrapText="1"/>
    </xf>
    <xf numFmtId="49" fontId="52" fillId="36" borderId="18" xfId="0" applyNumberFormat="1" applyFont="1" applyFill="1" applyBorder="1" applyAlignment="1">
      <alignment horizontal="center" vertical="center" wrapText="1"/>
    </xf>
    <xf numFmtId="165" fontId="41" fillId="0" borderId="0" xfId="0" applyNumberFormat="1" applyFont="1"/>
    <xf numFmtId="3" fontId="41" fillId="0" borderId="11" xfId="0" applyNumberFormat="1" applyFont="1" applyBorder="1" applyAlignment="1">
      <alignment horizontal="right"/>
    </xf>
    <xf numFmtId="0" fontId="41" fillId="0" borderId="11" xfId="0" applyFont="1" applyBorder="1" applyAlignment="1">
      <alignment horizontal="center" vertical="center" wrapText="1"/>
    </xf>
    <xf numFmtId="3" fontId="41"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0" fontId="42" fillId="0" borderId="11" xfId="0" applyFont="1" applyBorder="1" applyAlignment="1">
      <alignment horizontal="left" vertical="center"/>
    </xf>
    <xf numFmtId="3" fontId="42" fillId="0" borderId="11" xfId="0" applyNumberFormat="1" applyFont="1" applyBorder="1" applyAlignment="1">
      <alignment vertical="center"/>
    </xf>
    <xf numFmtId="49" fontId="38" fillId="0" borderId="28" xfId="0" applyNumberFormat="1" applyFont="1" applyFill="1" applyBorder="1" applyAlignment="1">
      <alignment horizontal="center" vertical="center"/>
    </xf>
    <xf numFmtId="0" fontId="38" fillId="0" borderId="28" xfId="0" applyFont="1" applyFill="1" applyBorder="1" applyAlignment="1">
      <alignment horizontal="center" vertical="center"/>
    </xf>
    <xf numFmtId="49" fontId="40" fillId="6" borderId="11" xfId="0" applyNumberFormat="1" applyFont="1" applyFill="1" applyBorder="1" applyAlignment="1">
      <alignment horizontal="center" vertical="center" wrapText="1"/>
    </xf>
    <xf numFmtId="0" fontId="40" fillId="6" borderId="11" xfId="0" applyFont="1" applyFill="1" applyBorder="1" applyAlignment="1">
      <alignment horizontal="center" vertical="center" wrapText="1" shrinkToFit="1"/>
    </xf>
    <xf numFmtId="0" fontId="41" fillId="0" borderId="35" xfId="0" applyFont="1" applyBorder="1" applyAlignment="1">
      <alignment horizontal="center"/>
    </xf>
    <xf numFmtId="0" fontId="45" fillId="0" borderId="18" xfId="0" applyFont="1" applyFill="1" applyBorder="1" applyProtection="1"/>
    <xf numFmtId="0" fontId="41" fillId="0" borderId="18" xfId="0" applyFont="1" applyBorder="1" applyAlignment="1">
      <alignment horizontal="center" vertical="center"/>
    </xf>
    <xf numFmtId="0" fontId="44" fillId="31" borderId="11" xfId="0" applyFont="1" applyFill="1" applyBorder="1" applyAlignment="1" applyProtection="1">
      <alignment horizontal="left" vertical="top"/>
    </xf>
    <xf numFmtId="0" fontId="45" fillId="0" borderId="19" xfId="0" applyFont="1" applyFill="1" applyBorder="1" applyAlignment="1" applyProtection="1">
      <alignment horizontal="left"/>
    </xf>
    <xf numFmtId="0" fontId="45" fillId="0" borderId="18" xfId="0" applyFont="1" applyFill="1" applyBorder="1" applyAlignment="1" applyProtection="1">
      <alignment horizontal="left"/>
    </xf>
    <xf numFmtId="0" fontId="46" fillId="0" borderId="19" xfId="0" applyFont="1" applyBorder="1" applyAlignment="1">
      <alignment horizontal="left"/>
    </xf>
    <xf numFmtId="0" fontId="46" fillId="0" borderId="18" xfId="0" applyFont="1" applyBorder="1" applyAlignment="1">
      <alignment horizontal="left"/>
    </xf>
    <xf numFmtId="0" fontId="46" fillId="0" borderId="34" xfId="0" applyFont="1" applyBorder="1" applyAlignment="1">
      <alignment horizontal="left"/>
    </xf>
    <xf numFmtId="0" fontId="45" fillId="0" borderId="19" xfId="0" applyFont="1" applyFill="1" applyBorder="1" applyAlignment="1" applyProtection="1">
      <alignment horizontal="left" vertical="top"/>
    </xf>
    <xf numFmtId="0" fontId="45" fillId="0" borderId="18" xfId="0" applyFont="1" applyFill="1" applyBorder="1" applyAlignment="1" applyProtection="1">
      <alignment horizontal="left" vertical="top"/>
    </xf>
    <xf numFmtId="0" fontId="45" fillId="0" borderId="19" xfId="0" applyFont="1" applyBorder="1" applyAlignment="1" applyProtection="1">
      <alignment horizontal="left" vertical="top"/>
    </xf>
    <xf numFmtId="0" fontId="45" fillId="0" borderId="18" xfId="0" applyFont="1" applyBorder="1" applyAlignment="1" applyProtection="1">
      <alignment horizontal="left" vertical="top"/>
    </xf>
    <xf numFmtId="0" fontId="37" fillId="6" borderId="11" xfId="1" applyFont="1" applyFill="1" applyBorder="1" applyAlignment="1">
      <alignment horizontal="left" vertical="center" wrapText="1"/>
    </xf>
    <xf numFmtId="49" fontId="51" fillId="0" borderId="11" xfId="0" applyNumberFormat="1" applyFont="1" applyBorder="1" applyAlignment="1">
      <alignment horizontal="center"/>
    </xf>
    <xf numFmtId="49" fontId="51" fillId="0" borderId="11" xfId="0" applyNumberFormat="1" applyFont="1" applyBorder="1" applyAlignment="1">
      <alignment vertical="top"/>
    </xf>
    <xf numFmtId="49" fontId="41" fillId="0" borderId="0" xfId="0" applyNumberFormat="1" applyFont="1"/>
    <xf numFmtId="49" fontId="51" fillId="0" borderId="11" xfId="0" applyNumberFormat="1" applyFont="1" applyBorder="1"/>
    <xf numFmtId="49" fontId="41" fillId="0" borderId="11" xfId="0" applyNumberFormat="1" applyFont="1" applyBorder="1"/>
    <xf numFmtId="3" fontId="41" fillId="0" borderId="0" xfId="47" applyNumberFormat="1" applyFont="1" applyAlignment="1">
      <alignment horizontal="right" vertical="center"/>
    </xf>
    <xf numFmtId="3" fontId="41" fillId="0" borderId="0" xfId="47" applyNumberFormat="1" applyFont="1" applyBorder="1" applyAlignment="1">
      <alignment horizontal="right" vertical="center"/>
    </xf>
    <xf numFmtId="4" fontId="45" fillId="0" borderId="18" xfId="47" applyNumberFormat="1" applyFont="1" applyFill="1" applyBorder="1" applyAlignment="1" applyProtection="1"/>
    <xf numFmtId="4" fontId="41" fillId="0" borderId="0" xfId="47" applyNumberFormat="1" applyFont="1" applyAlignment="1">
      <alignment horizontal="right"/>
    </xf>
    <xf numFmtId="4" fontId="41" fillId="0" borderId="0" xfId="47" applyNumberFormat="1" applyFont="1"/>
    <xf numFmtId="4" fontId="44" fillId="31" borderId="11" xfId="47" applyNumberFormat="1" applyFont="1" applyFill="1" applyBorder="1" applyProtection="1"/>
    <xf numFmtId="4" fontId="56" fillId="31" borderId="11" xfId="47" applyNumberFormat="1" applyFont="1" applyFill="1" applyBorder="1"/>
    <xf numFmtId="0" fontId="56" fillId="31" borderId="11" xfId="0" applyFont="1" applyFill="1" applyBorder="1"/>
    <xf numFmtId="0" fontId="46" fillId="31" borderId="11" xfId="0" applyFont="1" applyFill="1" applyBorder="1"/>
    <xf numFmtId="4" fontId="46" fillId="0" borderId="19" xfId="47" applyNumberFormat="1" applyFont="1" applyBorder="1"/>
    <xf numFmtId="0" fontId="46" fillId="0" borderId="19" xfId="0" applyFont="1" applyBorder="1"/>
    <xf numFmtId="4" fontId="46" fillId="0" borderId="18" xfId="47" applyNumberFormat="1" applyFont="1" applyBorder="1"/>
    <xf numFmtId="0" fontId="46" fillId="0" borderId="18" xfId="0" applyFont="1" applyBorder="1"/>
    <xf numFmtId="0" fontId="46" fillId="0" borderId="25" xfId="0" applyFont="1" applyBorder="1"/>
    <xf numFmtId="0" fontId="46" fillId="0" borderId="34" xfId="0" applyFont="1" applyBorder="1"/>
    <xf numFmtId="0" fontId="46" fillId="0" borderId="35" xfId="0" applyFont="1" applyBorder="1"/>
    <xf numFmtId="4" fontId="46" fillId="0" borderId="19" xfId="47" applyNumberFormat="1" applyFont="1" applyFill="1" applyBorder="1"/>
    <xf numFmtId="4" fontId="46" fillId="0" borderId="18" xfId="47" applyNumberFormat="1" applyFont="1" applyFill="1" applyBorder="1"/>
    <xf numFmtId="4" fontId="39" fillId="6" borderId="11" xfId="47" applyNumberFormat="1" applyFont="1" applyFill="1" applyBorder="1" applyAlignment="1">
      <alignment horizontal="right" vertical="center" wrapText="1"/>
    </xf>
    <xf numFmtId="0" fontId="39" fillId="6" borderId="11" xfId="1" applyFont="1" applyFill="1" applyBorder="1" applyAlignment="1">
      <alignment horizontal="right" vertical="center" wrapText="1"/>
    </xf>
    <xf numFmtId="0" fontId="43" fillId="0" borderId="11" xfId="47" applyNumberFormat="1" applyFont="1" applyFill="1" applyBorder="1" applyAlignment="1">
      <alignment horizontal="center" vertical="center" wrapText="1"/>
    </xf>
    <xf numFmtId="0" fontId="41" fillId="0" borderId="43" xfId="0" applyFont="1" applyBorder="1" applyAlignment="1">
      <alignment horizontal="center" vertical="center"/>
    </xf>
    <xf numFmtId="0" fontId="41" fillId="0" borderId="46" xfId="0" applyFont="1" applyBorder="1" applyAlignment="1">
      <alignment horizontal="center" vertical="center"/>
    </xf>
    <xf numFmtId="3" fontId="41" fillId="0" borderId="47" xfId="47" applyNumberFormat="1" applyFont="1" applyBorder="1" applyAlignment="1">
      <alignment horizontal="right" vertical="center"/>
    </xf>
    <xf numFmtId="0" fontId="41" fillId="0" borderId="44" xfId="0" applyFont="1" applyBorder="1" applyAlignment="1">
      <alignment horizontal="center"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2" fillId="29" borderId="51" xfId="0" applyFont="1" applyFill="1" applyBorder="1" applyAlignment="1">
      <alignment horizontal="center" vertical="center"/>
    </xf>
    <xf numFmtId="49" fontId="41" fillId="29" borderId="20" xfId="0" applyNumberFormat="1" applyFont="1" applyFill="1" applyBorder="1" applyAlignment="1">
      <alignment horizontal="left" vertical="center"/>
    </xf>
    <xf numFmtId="0" fontId="41" fillId="29" borderId="20" xfId="0" applyFont="1" applyFill="1" applyBorder="1" applyAlignment="1">
      <alignment horizontal="center" vertical="center"/>
    </xf>
    <xf numFmtId="0" fontId="42" fillId="29" borderId="20" xfId="0" applyFont="1" applyFill="1" applyBorder="1" applyAlignment="1">
      <alignment vertical="center" wrapText="1"/>
    </xf>
    <xf numFmtId="3" fontId="41" fillId="29" borderId="20" xfId="47" applyNumberFormat="1" applyFont="1" applyFill="1" applyBorder="1" applyAlignment="1">
      <alignment horizontal="right" vertical="center"/>
    </xf>
    <xf numFmtId="0" fontId="41" fillId="0" borderId="41" xfId="0" applyFont="1" applyBorder="1" applyAlignment="1">
      <alignment horizontal="center" vertical="center"/>
    </xf>
    <xf numFmtId="0" fontId="41" fillId="0" borderId="33" xfId="0" applyFont="1" applyBorder="1" applyAlignment="1">
      <alignment horizontal="center" vertical="center"/>
    </xf>
    <xf numFmtId="49" fontId="42" fillId="0" borderId="33" xfId="0" applyNumberFormat="1" applyFont="1" applyBorder="1" applyAlignment="1">
      <alignment horizontal="left" vertical="center"/>
    </xf>
    <xf numFmtId="0" fontId="42" fillId="0" borderId="33" xfId="0" applyFont="1" applyBorder="1" applyAlignment="1">
      <alignment horizontal="center" vertical="center"/>
    </xf>
    <xf numFmtId="0" fontId="41" fillId="0" borderId="42" xfId="0" applyFont="1" applyBorder="1" applyAlignment="1">
      <alignment horizontal="center" vertical="center"/>
    </xf>
    <xf numFmtId="49" fontId="42" fillId="0" borderId="0" xfId="0" applyNumberFormat="1" applyFont="1" applyBorder="1" applyAlignment="1">
      <alignment horizontal="left" vertical="center"/>
    </xf>
    <xf numFmtId="0" fontId="53" fillId="0" borderId="0" xfId="0" applyFont="1" applyBorder="1" applyAlignment="1">
      <alignment horizontal="center" vertical="center"/>
    </xf>
    <xf numFmtId="0" fontId="53" fillId="0" borderId="44" xfId="0" applyFont="1" applyBorder="1" applyAlignment="1">
      <alignment horizontal="center" vertical="center"/>
    </xf>
    <xf numFmtId="49" fontId="41" fillId="0" borderId="0" xfId="0" applyNumberFormat="1" applyFont="1" applyBorder="1" applyAlignment="1">
      <alignment horizontal="left" vertical="center"/>
    </xf>
    <xf numFmtId="49" fontId="41" fillId="0" borderId="47" xfId="0" applyNumberFormat="1" applyFont="1" applyBorder="1" applyAlignment="1">
      <alignment horizontal="left" vertical="center"/>
    </xf>
    <xf numFmtId="3" fontId="41" fillId="0" borderId="49" xfId="47" applyNumberFormat="1" applyFont="1" applyBorder="1" applyAlignment="1">
      <alignment horizontal="right" vertical="center"/>
    </xf>
    <xf numFmtId="3" fontId="41" fillId="0" borderId="52" xfId="47" applyNumberFormat="1" applyFont="1" applyBorder="1" applyAlignment="1">
      <alignment horizontal="right" vertical="center"/>
    </xf>
    <xf numFmtId="3" fontId="22" fillId="29" borderId="20" xfId="49" applyNumberFormat="1" applyFont="1" applyFill="1" applyBorder="1" applyAlignment="1">
      <alignment horizontal="left" vertical="center" wrapText="1"/>
    </xf>
    <xf numFmtId="3" fontId="22" fillId="0" borderId="33" xfId="49" applyNumberFormat="1" applyFont="1" applyFill="1" applyBorder="1" applyAlignment="1">
      <alignment horizontal="left" vertical="center" wrapText="1"/>
    </xf>
    <xf numFmtId="3" fontId="41" fillId="0" borderId="33" xfId="47" applyNumberFormat="1" applyFont="1" applyBorder="1" applyAlignment="1">
      <alignment horizontal="right" vertical="center"/>
    </xf>
    <xf numFmtId="0" fontId="41" fillId="0" borderId="52" xfId="0" applyFont="1" applyBorder="1" applyAlignment="1">
      <alignment horizontal="center" vertical="center"/>
    </xf>
    <xf numFmtId="0" fontId="53" fillId="0" borderId="52" xfId="0" applyFont="1" applyBorder="1" applyAlignment="1">
      <alignment horizontal="center" vertical="center"/>
    </xf>
    <xf numFmtId="3" fontId="41" fillId="0" borderId="50" xfId="47" applyNumberFormat="1" applyFont="1" applyBorder="1" applyAlignment="1">
      <alignment horizontal="right" vertical="center"/>
    </xf>
    <xf numFmtId="3" fontId="42" fillId="37" borderId="40" xfId="47" applyNumberFormat="1" applyFont="1" applyFill="1" applyBorder="1" applyAlignment="1">
      <alignment horizontal="right" vertical="center"/>
    </xf>
    <xf numFmtId="49" fontId="42" fillId="0" borderId="47" xfId="0" applyNumberFormat="1" applyFont="1" applyBorder="1" applyAlignment="1">
      <alignment horizontal="left" vertical="center"/>
    </xf>
    <xf numFmtId="0" fontId="42" fillId="0" borderId="47" xfId="0" applyFont="1" applyBorder="1" applyAlignment="1">
      <alignment horizontal="center" vertical="center"/>
    </xf>
    <xf numFmtId="0" fontId="41" fillId="0" borderId="49" xfId="0" applyFont="1" applyBorder="1" applyAlignment="1">
      <alignment horizontal="center" vertical="center"/>
    </xf>
    <xf numFmtId="3" fontId="36" fillId="0" borderId="33" xfId="49" applyNumberFormat="1" applyFont="1" applyFill="1" applyBorder="1" applyAlignment="1">
      <alignment horizontal="left" vertical="center" wrapText="1"/>
    </xf>
    <xf numFmtId="3" fontId="42" fillId="36" borderId="40" xfId="47" applyNumberFormat="1" applyFont="1" applyFill="1" applyBorder="1" applyAlignment="1">
      <alignment horizontal="right" vertical="center"/>
    </xf>
    <xf numFmtId="3" fontId="41" fillId="0" borderId="41" xfId="47" applyNumberFormat="1" applyFont="1" applyBorder="1" applyAlignment="1">
      <alignment horizontal="right" vertical="center"/>
    </xf>
    <xf numFmtId="3" fontId="41" fillId="0" borderId="43" xfId="47" applyNumberFormat="1" applyFont="1" applyBorder="1" applyAlignment="1">
      <alignment horizontal="right" vertical="center"/>
    </xf>
    <xf numFmtId="0" fontId="41" fillId="0" borderId="51"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1" fillId="0" borderId="20" xfId="47" applyNumberFormat="1" applyFont="1" applyBorder="1" applyAlignment="1">
      <alignment horizontal="right" vertical="center"/>
    </xf>
    <xf numFmtId="0" fontId="42" fillId="0" borderId="33" xfId="0" applyFont="1" applyBorder="1" applyAlignment="1">
      <alignment vertical="center" wrapText="1"/>
    </xf>
    <xf numFmtId="0" fontId="42" fillId="0" borderId="0" xfId="0" applyFont="1" applyBorder="1" applyAlignment="1">
      <alignment vertical="center" wrapText="1"/>
    </xf>
    <xf numFmtId="0" fontId="53" fillId="0" borderId="0" xfId="0" applyFont="1" applyBorder="1" applyAlignment="1">
      <alignment vertical="center" wrapText="1"/>
    </xf>
    <xf numFmtId="0" fontId="41" fillId="0" borderId="0" xfId="0" applyFont="1" applyBorder="1" applyAlignment="1">
      <alignment vertical="center" wrapText="1"/>
    </xf>
    <xf numFmtId="0" fontId="42" fillId="0" borderId="49" xfId="0" applyFont="1" applyBorder="1" applyAlignment="1">
      <alignment horizontal="center" vertical="center"/>
    </xf>
    <xf numFmtId="0" fontId="42" fillId="0" borderId="52" xfId="0" applyFont="1" applyBorder="1" applyAlignment="1">
      <alignment horizontal="center" vertical="center"/>
    </xf>
    <xf numFmtId="3" fontId="42" fillId="0" borderId="49" xfId="47" applyNumberFormat="1" applyFont="1" applyBorder="1" applyAlignment="1">
      <alignment horizontal="right" vertical="center"/>
    </xf>
    <xf numFmtId="3" fontId="42" fillId="0" borderId="52" xfId="47" applyNumberFormat="1" applyFont="1" applyBorder="1" applyAlignment="1">
      <alignment horizontal="right" vertical="center"/>
    </xf>
    <xf numFmtId="0" fontId="42" fillId="0" borderId="33" xfId="0" applyFont="1" applyBorder="1" applyAlignment="1">
      <alignment horizontal="left" vertical="center"/>
    </xf>
    <xf numFmtId="0" fontId="53" fillId="0" borderId="0" xfId="0" applyFont="1" applyBorder="1" applyAlignment="1">
      <alignment horizontal="left" vertical="center"/>
    </xf>
    <xf numFmtId="0" fontId="41" fillId="0" borderId="0" xfId="0" applyFont="1" applyBorder="1" applyAlignment="1">
      <alignment horizontal="left" vertical="center"/>
    </xf>
    <xf numFmtId="0" fontId="41" fillId="0" borderId="43" xfId="0" applyFont="1" applyBorder="1" applyAlignment="1">
      <alignment horizontal="left" vertical="center"/>
    </xf>
    <xf numFmtId="0" fontId="41" fillId="0" borderId="47" xfId="0" applyFont="1" applyBorder="1" applyAlignment="1">
      <alignment horizontal="left" vertical="center"/>
    </xf>
    <xf numFmtId="0" fontId="41" fillId="0" borderId="41" xfId="0" applyFont="1" applyBorder="1" applyAlignment="1">
      <alignment horizontal="left" vertical="center"/>
    </xf>
    <xf numFmtId="0" fontId="42" fillId="0" borderId="49" xfId="0" applyFont="1" applyBorder="1" applyAlignment="1">
      <alignment horizontal="left" vertical="center"/>
    </xf>
    <xf numFmtId="0" fontId="42" fillId="0" borderId="52" xfId="0" applyFont="1" applyBorder="1" applyAlignment="1">
      <alignment horizontal="left" vertical="center"/>
    </xf>
    <xf numFmtId="0" fontId="57" fillId="0" borderId="52" xfId="0" applyFont="1" applyBorder="1" applyAlignment="1">
      <alignment horizontal="left" vertical="center"/>
    </xf>
    <xf numFmtId="0" fontId="41" fillId="0" borderId="0" xfId="0" applyFont="1" applyFill="1" applyBorder="1" applyAlignment="1">
      <alignment horizontal="center" vertical="center"/>
    </xf>
    <xf numFmtId="0" fontId="53" fillId="0" borderId="43" xfId="0" applyFont="1" applyBorder="1" applyAlignment="1">
      <alignment horizontal="left" vertical="center"/>
    </xf>
    <xf numFmtId="0" fontId="41" fillId="0" borderId="46"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20" xfId="0" applyFont="1" applyBorder="1" applyAlignment="1">
      <alignment horizontal="center" vertical="center"/>
    </xf>
    <xf numFmtId="49" fontId="41" fillId="0" borderId="20" xfId="0" applyNumberFormat="1" applyFont="1" applyBorder="1" applyAlignment="1">
      <alignment horizontal="left" vertical="center"/>
    </xf>
    <xf numFmtId="0" fontId="41" fillId="0" borderId="41" xfId="0" applyFont="1" applyFill="1" applyBorder="1" applyAlignment="1">
      <alignment horizontal="center" vertical="center"/>
    </xf>
    <xf numFmtId="0" fontId="42" fillId="0" borderId="42" xfId="0" applyFont="1" applyFill="1" applyBorder="1" applyAlignment="1">
      <alignment vertical="center" wrapText="1"/>
    </xf>
    <xf numFmtId="3" fontId="41" fillId="0" borderId="0" xfId="47" applyNumberFormat="1" applyFont="1" applyFill="1" applyBorder="1" applyAlignment="1">
      <alignment horizontal="right" vertical="center"/>
    </xf>
    <xf numFmtId="49" fontId="42" fillId="0" borderId="47" xfId="0" applyNumberFormat="1" applyFont="1" applyFill="1" applyBorder="1" applyAlignment="1">
      <alignment horizontal="left" vertical="center"/>
    </xf>
    <xf numFmtId="0" fontId="42" fillId="0" borderId="47" xfId="0" applyFont="1" applyFill="1" applyBorder="1" applyAlignment="1">
      <alignment horizontal="center" vertical="center"/>
    </xf>
    <xf numFmtId="4" fontId="41" fillId="0" borderId="52" xfId="47" applyNumberFormat="1" applyFont="1" applyBorder="1" applyAlignment="1">
      <alignment horizontal="right" vertical="center"/>
    </xf>
    <xf numFmtId="4" fontId="41" fillId="0" borderId="0" xfId="47" applyNumberFormat="1" applyFont="1" applyBorder="1" applyAlignment="1">
      <alignment vertical="center"/>
    </xf>
    <xf numFmtId="4" fontId="41" fillId="0" borderId="52" xfId="47" applyNumberFormat="1" applyFont="1" applyBorder="1" applyAlignment="1">
      <alignment vertical="center"/>
    </xf>
    <xf numFmtId="3" fontId="42" fillId="38" borderId="20" xfId="47" applyNumberFormat="1" applyFont="1" applyFill="1" applyBorder="1" applyAlignment="1">
      <alignment horizontal="right" vertical="center"/>
    </xf>
    <xf numFmtId="3" fontId="42" fillId="38" borderId="40" xfId="47" applyNumberFormat="1" applyFont="1" applyFill="1" applyBorder="1" applyAlignment="1">
      <alignment horizontal="right" vertical="center"/>
    </xf>
    <xf numFmtId="3" fontId="41" fillId="40" borderId="50" xfId="47" applyNumberFormat="1" applyFont="1" applyFill="1" applyBorder="1" applyAlignment="1">
      <alignment horizontal="right" vertical="center"/>
    </xf>
    <xf numFmtId="3" fontId="42" fillId="40" borderId="40" xfId="47" applyNumberFormat="1" applyFont="1" applyFill="1" applyBorder="1" applyAlignment="1">
      <alignment horizontal="right" vertical="center"/>
    </xf>
    <xf numFmtId="49" fontId="42" fillId="0" borderId="0" xfId="0" applyNumberFormat="1" applyFont="1" applyFill="1" applyBorder="1" applyAlignment="1">
      <alignment horizontal="left" vertical="center"/>
    </xf>
    <xf numFmtId="0" fontId="42" fillId="0" borderId="0" xfId="0" applyFont="1" applyFill="1" applyBorder="1" applyAlignment="1">
      <alignment horizontal="center" vertical="center"/>
    </xf>
    <xf numFmtId="0" fontId="42" fillId="0" borderId="0" xfId="0" applyFont="1" applyFill="1" applyBorder="1" applyAlignment="1">
      <alignment horizontal="left" vertical="center"/>
    </xf>
    <xf numFmtId="3" fontId="42" fillId="0" borderId="0" xfId="47" applyNumberFormat="1" applyFont="1" applyFill="1" applyBorder="1" applyAlignment="1">
      <alignment horizontal="right" vertical="center"/>
    </xf>
    <xf numFmtId="4" fontId="42" fillId="40" borderId="40" xfId="47" applyNumberFormat="1" applyFont="1" applyFill="1" applyBorder="1" applyAlignment="1">
      <alignment horizontal="right"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4" fontId="40" fillId="4" borderId="24" xfId="29" applyNumberFormat="1" applyFont="1" applyFill="1" applyBorder="1" applyAlignment="1" applyProtection="1">
      <alignment horizontal="right" vertical="center" wrapText="1"/>
    </xf>
    <xf numFmtId="4" fontId="46" fillId="0" borderId="19" xfId="0" applyNumberFormat="1" applyFont="1" applyBorder="1"/>
    <xf numFmtId="4" fontId="40" fillId="20" borderId="23" xfId="0" applyNumberFormat="1" applyFont="1" applyFill="1" applyBorder="1" applyAlignment="1">
      <alignment horizontal="right" vertical="center" wrapText="1"/>
    </xf>
    <xf numFmtId="4" fontId="40" fillId="20" borderId="23" xfId="48" applyNumberFormat="1" applyFont="1" applyFill="1" applyBorder="1" applyAlignment="1">
      <alignment horizontal="right" vertical="center" wrapText="1"/>
    </xf>
    <xf numFmtId="4" fontId="38" fillId="0" borderId="23" xfId="0" applyNumberFormat="1" applyFont="1" applyFill="1" applyBorder="1" applyAlignment="1">
      <alignment horizontal="right" vertical="center" wrapText="1"/>
    </xf>
    <xf numFmtId="4" fontId="40" fillId="29" borderId="23" xfId="0" applyNumberFormat="1" applyFont="1" applyFill="1" applyBorder="1" applyAlignment="1">
      <alignment horizontal="right" vertical="center" wrapText="1"/>
    </xf>
    <xf numFmtId="4" fontId="40" fillId="26" borderId="23" xfId="0" applyNumberFormat="1" applyFont="1" applyFill="1" applyBorder="1" applyAlignment="1">
      <alignment horizontal="right" vertical="center" wrapText="1"/>
    </xf>
    <xf numFmtId="3" fontId="36" fillId="38" borderId="54" xfId="49" applyNumberFormat="1" applyFont="1" applyFill="1" applyBorder="1" applyAlignment="1">
      <alignment horizontal="center" vertical="center" textRotation="90" wrapText="1"/>
    </xf>
    <xf numFmtId="0" fontId="36" fillId="38" borderId="55" xfId="49" applyFont="1" applyFill="1" applyBorder="1" applyAlignment="1">
      <alignment horizontal="center" vertical="center" textRotation="90" wrapText="1"/>
    </xf>
    <xf numFmtId="49" fontId="36" fillId="38" borderId="56" xfId="49" applyNumberFormat="1" applyFont="1" applyFill="1" applyBorder="1" applyAlignment="1">
      <alignment horizontal="center" vertical="center" textRotation="90" wrapText="1"/>
    </xf>
    <xf numFmtId="3" fontId="36" fillId="38" borderId="55" xfId="49" applyNumberFormat="1" applyFont="1" applyFill="1" applyBorder="1" applyAlignment="1">
      <alignment horizontal="center" vertical="center" textRotation="90" wrapText="1"/>
    </xf>
    <xf numFmtId="3" fontId="36" fillId="38" borderId="55" xfId="49" applyNumberFormat="1" applyFont="1" applyFill="1" applyBorder="1" applyAlignment="1">
      <alignment horizontal="center" vertical="center" wrapText="1"/>
    </xf>
    <xf numFmtId="3" fontId="36" fillId="38" borderId="55" xfId="47" applyNumberFormat="1" applyFont="1" applyFill="1" applyBorder="1" applyAlignment="1">
      <alignment horizontal="center" vertical="center" wrapText="1"/>
    </xf>
    <xf numFmtId="3" fontId="36" fillId="0" borderId="57" xfId="49" applyNumberFormat="1" applyFont="1" applyBorder="1" applyAlignment="1">
      <alignment horizontal="center" vertical="center" wrapText="1"/>
    </xf>
    <xf numFmtId="49" fontId="41" fillId="0" borderId="0" xfId="0" applyNumberFormat="1" applyFont="1" applyBorder="1" applyAlignment="1">
      <alignment horizontal="center" vertical="center"/>
    </xf>
    <xf numFmtId="49"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0" fontId="38" fillId="0" borderId="11" xfId="0" applyFont="1" applyBorder="1" applyAlignment="1">
      <alignment horizontal="center" vertical="center" wrapText="1"/>
    </xf>
    <xf numFmtId="49" fontId="40" fillId="33" borderId="11" xfId="0" applyNumberFormat="1" applyFont="1" applyFill="1" applyBorder="1" applyAlignment="1">
      <alignment horizontal="center" vertical="center"/>
    </xf>
    <xf numFmtId="0" fontId="40" fillId="33" borderId="11" xfId="0" applyFont="1" applyFill="1" applyBorder="1" applyAlignment="1">
      <alignment horizontal="left" vertical="center"/>
    </xf>
    <xf numFmtId="49" fontId="40" fillId="20" borderId="11" xfId="0" applyNumberFormat="1" applyFont="1" applyFill="1" applyBorder="1" applyAlignment="1">
      <alignment horizontal="center"/>
    </xf>
    <xf numFmtId="0" fontId="40" fillId="20" borderId="11" xfId="0" applyFont="1" applyFill="1" applyBorder="1" applyAlignment="1">
      <alignment horizontal="left"/>
    </xf>
    <xf numFmtId="165" fontId="40" fillId="20" borderId="11" xfId="29" applyNumberFormat="1" applyFont="1" applyFill="1" applyBorder="1" applyAlignment="1" applyProtection="1">
      <alignment horizontal="right" vertical="center" wrapText="1"/>
    </xf>
    <xf numFmtId="49" fontId="38" fillId="0" borderId="11" xfId="0" applyNumberFormat="1" applyFont="1" applyFill="1" applyBorder="1" applyAlignment="1">
      <alignment horizontal="center"/>
    </xf>
    <xf numFmtId="0" fontId="38" fillId="0" borderId="11" xfId="0" applyFont="1" applyFill="1" applyBorder="1" applyAlignment="1">
      <alignment horizontal="left"/>
    </xf>
    <xf numFmtId="165" fontId="38" fillId="0" borderId="11" xfId="29" applyNumberFormat="1" applyFont="1" applyFill="1" applyBorder="1" applyAlignment="1" applyProtection="1">
      <alignment horizontal="right" vertical="center" wrapText="1"/>
    </xf>
    <xf numFmtId="0" fontId="38" fillId="0" borderId="11" xfId="0" applyNumberFormat="1" applyFont="1" applyFill="1" applyBorder="1" applyAlignment="1">
      <alignment horizontal="center"/>
    </xf>
    <xf numFmtId="0" fontId="38" fillId="0" borderId="11" xfId="0" applyFont="1" applyFill="1" applyBorder="1" applyAlignment="1">
      <alignment horizontal="center" vertical="center"/>
    </xf>
    <xf numFmtId="0" fontId="38" fillId="0" borderId="11" xfId="0" applyFont="1" applyFill="1" applyBorder="1"/>
    <xf numFmtId="1" fontId="38" fillId="0" borderId="11" xfId="0" applyNumberFormat="1" applyFont="1" applyFill="1" applyBorder="1" applyAlignment="1">
      <alignment horizontal="center" vertical="center" wrapText="1"/>
    </xf>
    <xf numFmtId="0" fontId="48" fillId="0" borderId="11" xfId="0" applyFont="1" applyFill="1" applyBorder="1" applyAlignment="1">
      <alignment horizontal="left" vertical="center" wrapText="1"/>
    </xf>
    <xf numFmtId="0" fontId="40" fillId="20" borderId="11" xfId="0" applyFont="1" applyFill="1" applyBorder="1" applyAlignment="1">
      <alignment horizontal="center"/>
    </xf>
    <xf numFmtId="0" fontId="40" fillId="20" borderId="11" xfId="0" applyFont="1" applyFill="1" applyBorder="1" applyAlignment="1">
      <alignment horizontal="justify"/>
    </xf>
    <xf numFmtId="0" fontId="38" fillId="0" borderId="11" xfId="0" applyFont="1" applyFill="1" applyBorder="1" applyAlignment="1">
      <alignment horizontal="center"/>
    </xf>
    <xf numFmtId="0" fontId="38" fillId="0" borderId="11" xfId="0" applyFont="1" applyFill="1" applyBorder="1" applyAlignment="1">
      <alignment horizontal="justify"/>
    </xf>
    <xf numFmtId="49" fontId="40" fillId="33" borderId="11" xfId="0" applyNumberFormat="1" applyFont="1" applyFill="1" applyBorder="1" applyAlignment="1">
      <alignment horizontal="center"/>
    </xf>
    <xf numFmtId="0" fontId="40" fillId="33" borderId="11" xfId="0" applyFont="1" applyFill="1" applyBorder="1" applyAlignment="1">
      <alignment horizontal="left"/>
    </xf>
    <xf numFmtId="165" fontId="40" fillId="33" borderId="11" xfId="29" applyNumberFormat="1" applyFont="1" applyFill="1" applyBorder="1" applyAlignment="1" applyProtection="1">
      <alignment horizontal="right" vertical="center" wrapText="1"/>
    </xf>
    <xf numFmtId="0" fontId="48" fillId="0" borderId="11" xfId="0" applyFont="1" applyFill="1" applyBorder="1" applyAlignment="1">
      <alignment horizontal="justify" vertical="center" wrapText="1"/>
    </xf>
    <xf numFmtId="0" fontId="48" fillId="0" borderId="11" xfId="0" applyFont="1" applyFill="1" applyBorder="1" applyAlignment="1">
      <alignment vertical="center" wrapText="1"/>
    </xf>
    <xf numFmtId="165" fontId="40" fillId="20" borderId="11" xfId="47" applyNumberFormat="1" applyFont="1" applyFill="1" applyBorder="1" applyAlignment="1">
      <alignment horizontal="right" vertical="center" wrapText="1"/>
    </xf>
    <xf numFmtId="165" fontId="40" fillId="20" borderId="11" xfId="0" applyNumberFormat="1" applyFont="1" applyFill="1" applyBorder="1" applyAlignment="1">
      <alignment horizontal="right" vertical="center" wrapText="1"/>
    </xf>
    <xf numFmtId="1" fontId="40" fillId="20" borderId="11" xfId="0" applyNumberFormat="1" applyFont="1" applyFill="1" applyBorder="1" applyAlignment="1">
      <alignment horizontal="center" vertical="center" wrapText="1"/>
    </xf>
    <xf numFmtId="0" fontId="40" fillId="20" borderId="11" xfId="0" applyFont="1" applyFill="1" applyBorder="1" applyAlignment="1">
      <alignment vertical="center" wrapText="1"/>
    </xf>
    <xf numFmtId="0" fontId="38" fillId="0" borderId="11" xfId="0" applyFont="1" applyFill="1" applyBorder="1" applyAlignment="1">
      <alignment wrapText="1"/>
    </xf>
    <xf numFmtId="49" fontId="38" fillId="0" borderId="11" xfId="0" applyNumberFormat="1" applyFont="1" applyBorder="1" applyAlignment="1">
      <alignment horizontal="center"/>
    </xf>
    <xf numFmtId="0" fontId="38" fillId="0" borderId="11" xfId="0" applyFont="1" applyBorder="1" applyAlignment="1">
      <alignment horizontal="left"/>
    </xf>
    <xf numFmtId="0" fontId="40" fillId="4" borderId="11" xfId="0" applyFont="1" applyFill="1" applyBorder="1"/>
    <xf numFmtId="49" fontId="40" fillId="4" borderId="11" xfId="0" applyNumberFormat="1" applyFont="1" applyFill="1" applyBorder="1" applyAlignment="1">
      <alignment vertical="center" wrapText="1"/>
    </xf>
    <xf numFmtId="165" fontId="40" fillId="4" borderId="11" xfId="0" applyNumberFormat="1" applyFont="1" applyFill="1" applyBorder="1" applyAlignment="1">
      <alignment horizontal="right" vertical="center" wrapText="1"/>
    </xf>
    <xf numFmtId="3" fontId="41" fillId="0" borderId="64" xfId="47" applyNumberFormat="1" applyFont="1" applyBorder="1" applyAlignment="1">
      <alignment horizontal="right" vertical="center"/>
    </xf>
    <xf numFmtId="3" fontId="35" fillId="0" borderId="60" xfId="0" applyNumberFormat="1" applyFont="1" applyBorder="1" applyAlignment="1">
      <alignment horizontal="left" vertical="center" wrapText="1"/>
    </xf>
    <xf numFmtId="3" fontId="41" fillId="0" borderId="63" xfId="47" applyNumberFormat="1" applyFont="1" applyBorder="1" applyAlignment="1">
      <alignment horizontal="right" vertical="center"/>
    </xf>
    <xf numFmtId="3" fontId="42" fillId="40" borderId="50" xfId="47" applyNumberFormat="1" applyFont="1" applyFill="1" applyBorder="1" applyAlignment="1">
      <alignment horizontal="right" vertical="center"/>
    </xf>
    <xf numFmtId="0" fontId="41" fillId="0" borderId="66" xfId="0" applyFont="1" applyBorder="1" applyAlignment="1">
      <alignment horizontal="center" vertical="center"/>
    </xf>
    <xf numFmtId="3" fontId="23" fillId="0" borderId="60" xfId="49" applyNumberFormat="1" applyFont="1" applyFill="1" applyBorder="1" applyAlignment="1">
      <alignment horizontal="left" vertical="center" wrapText="1"/>
    </xf>
    <xf numFmtId="0" fontId="41" fillId="0" borderId="40" xfId="0" applyFont="1" applyBorder="1" applyAlignment="1">
      <alignment horizontal="center" vertical="center"/>
    </xf>
    <xf numFmtId="3" fontId="23" fillId="0" borderId="20" xfId="49" applyNumberFormat="1" applyFont="1" applyFill="1" applyBorder="1" applyAlignment="1">
      <alignment horizontal="left" vertical="center" wrapText="1"/>
    </xf>
    <xf numFmtId="0" fontId="41" fillId="0" borderId="66" xfId="0" applyFont="1" applyBorder="1" applyAlignment="1">
      <alignment horizontal="left" vertical="center"/>
    </xf>
    <xf numFmtId="3" fontId="41" fillId="0" borderId="64" xfId="47" applyNumberFormat="1" applyFont="1" applyFill="1" applyBorder="1" applyAlignment="1">
      <alignment horizontal="right" vertical="center"/>
    </xf>
    <xf numFmtId="3" fontId="41" fillId="0" borderId="65" xfId="47" applyNumberFormat="1" applyFont="1" applyFill="1" applyBorder="1" applyAlignment="1">
      <alignment horizontal="right" vertical="center"/>
    </xf>
    <xf numFmtId="4" fontId="41" fillId="0" borderId="60" xfId="47" applyNumberFormat="1" applyFont="1" applyBorder="1" applyAlignment="1">
      <alignment vertical="center"/>
    </xf>
    <xf numFmtId="0" fontId="49" fillId="0" borderId="11" xfId="0" applyFont="1" applyBorder="1" applyAlignment="1">
      <alignment wrapText="1"/>
    </xf>
    <xf numFmtId="0" fontId="38" fillId="0" borderId="11" xfId="0" applyFont="1" applyFill="1" applyBorder="1" applyAlignment="1">
      <alignment horizontal="left" wrapText="1"/>
    </xf>
    <xf numFmtId="3" fontId="41" fillId="0" borderId="63" xfId="47" applyNumberFormat="1" applyFont="1" applyFill="1" applyBorder="1" applyAlignment="1">
      <alignment horizontal="right" vertical="center"/>
    </xf>
    <xf numFmtId="165" fontId="61" fillId="0" borderId="0" xfId="0" applyNumberFormat="1" applyFont="1"/>
    <xf numFmtId="3" fontId="41" fillId="0" borderId="40" xfId="47" applyNumberFormat="1" applyFont="1" applyFill="1" applyBorder="1" applyAlignment="1">
      <alignment horizontal="right" vertical="center"/>
    </xf>
    <xf numFmtId="49" fontId="41" fillId="35" borderId="11" xfId="0" applyNumberFormat="1" applyFont="1" applyFill="1" applyBorder="1"/>
    <xf numFmtId="49" fontId="55" fillId="36" borderId="11" xfId="0" applyNumberFormat="1" applyFont="1" applyFill="1" applyBorder="1"/>
    <xf numFmtId="49" fontId="41" fillId="0" borderId="11" xfId="0" applyNumberFormat="1" applyFont="1" applyFill="1" applyBorder="1"/>
    <xf numFmtId="49" fontId="41" fillId="41" borderId="11" xfId="0" applyNumberFormat="1" applyFont="1" applyFill="1" applyBorder="1"/>
    <xf numFmtId="0" fontId="63" fillId="0" borderId="11" xfId="0" applyFont="1" applyBorder="1" applyAlignment="1">
      <alignment horizontal="center" vertical="center"/>
    </xf>
    <xf numFmtId="4" fontId="41" fillId="0" borderId="11" xfId="0" applyNumberFormat="1" applyFont="1" applyBorder="1"/>
    <xf numFmtId="0" fontId="41" fillId="0" borderId="43" xfId="0" applyFont="1" applyBorder="1" applyAlignment="1">
      <alignment horizontal="center" vertical="center"/>
    </xf>
    <xf numFmtId="3" fontId="21" fillId="0" borderId="69" xfId="0" applyNumberFormat="1" applyFont="1" applyBorder="1" applyAlignment="1">
      <alignment horizontal="left" vertical="center" wrapText="1"/>
    </xf>
    <xf numFmtId="3" fontId="35" fillId="0" borderId="69" xfId="0" applyNumberFormat="1" applyFont="1" applyBorder="1" applyAlignment="1">
      <alignment horizontal="left" vertical="center" wrapText="1"/>
    </xf>
    <xf numFmtId="0" fontId="21" fillId="0" borderId="75" xfId="0" applyFont="1" applyFill="1" applyBorder="1" applyAlignment="1">
      <alignment horizontal="center" vertical="center" wrapText="1"/>
    </xf>
    <xf numFmtId="3" fontId="35" fillId="0" borderId="70" xfId="0" applyNumberFormat="1" applyFont="1" applyFill="1" applyBorder="1" applyAlignment="1">
      <alignment horizontal="left" vertical="center" wrapText="1"/>
    </xf>
    <xf numFmtId="3" fontId="41" fillId="0" borderId="71" xfId="47" applyNumberFormat="1" applyFont="1" applyFill="1" applyBorder="1" applyAlignment="1">
      <alignment horizontal="right" vertical="center"/>
    </xf>
    <xf numFmtId="3" fontId="41" fillId="0" borderId="47" xfId="47" applyNumberFormat="1" applyFont="1" applyFill="1" applyBorder="1" applyAlignment="1">
      <alignment horizontal="right" vertical="center"/>
    </xf>
    <xf numFmtId="0" fontId="41" fillId="0" borderId="72" xfId="0" applyFont="1" applyBorder="1" applyAlignment="1">
      <alignment horizontal="left" vertical="center"/>
    </xf>
    <xf numFmtId="3" fontId="35" fillId="0" borderId="74" xfId="0" applyNumberFormat="1" applyFont="1" applyFill="1" applyBorder="1" applyAlignment="1">
      <alignment horizontal="left" vertical="center" wrapText="1"/>
    </xf>
    <xf numFmtId="3" fontId="22" fillId="0" borderId="49" xfId="49" applyNumberFormat="1" applyFont="1" applyFill="1" applyBorder="1" applyAlignment="1">
      <alignment horizontal="left" vertical="center" wrapText="1"/>
    </xf>
    <xf numFmtId="3" fontId="22" fillId="0" borderId="52" xfId="49" applyNumberFormat="1" applyFont="1" applyFill="1" applyBorder="1" applyAlignment="1">
      <alignment horizontal="left" vertical="center" wrapText="1"/>
    </xf>
    <xf numFmtId="3" fontId="54" fillId="0" borderId="50" xfId="49" applyNumberFormat="1" applyFont="1" applyFill="1" applyBorder="1" applyAlignment="1">
      <alignment horizontal="left" vertical="center" wrapText="1"/>
    </xf>
    <xf numFmtId="0" fontId="41" fillId="0" borderId="60" xfId="0" applyFont="1" applyBorder="1" applyAlignment="1">
      <alignment horizontal="center" vertical="center"/>
    </xf>
    <xf numFmtId="3" fontId="23" fillId="0" borderId="0" xfId="49" applyNumberFormat="1" applyFont="1" applyFill="1" applyBorder="1" applyAlignment="1">
      <alignment horizontal="left" vertical="center" wrapText="1"/>
    </xf>
    <xf numFmtId="0" fontId="41" fillId="0" borderId="46" xfId="0" applyFont="1" applyFill="1" applyBorder="1" applyAlignment="1">
      <alignment horizontal="center" vertical="center"/>
    </xf>
    <xf numFmtId="0" fontId="41" fillId="0" borderId="43" xfId="0" applyFont="1" applyFill="1" applyBorder="1" applyAlignment="1">
      <alignment horizontal="center" vertical="center"/>
    </xf>
    <xf numFmtId="49" fontId="41" fillId="0" borderId="0" xfId="0" applyNumberFormat="1" applyFont="1" applyFill="1" applyBorder="1" applyAlignment="1">
      <alignment horizontal="left" vertical="center"/>
    </xf>
    <xf numFmtId="49" fontId="41" fillId="0" borderId="0" xfId="0" applyNumberFormat="1" applyFont="1" applyFill="1" applyBorder="1" applyAlignment="1">
      <alignment horizontal="center" vertical="center"/>
    </xf>
    <xf numFmtId="0" fontId="41" fillId="0" borderId="0" xfId="0" applyFont="1" applyFill="1" applyBorder="1"/>
    <xf numFmtId="0" fontId="41" fillId="0" borderId="0" xfId="0" applyFont="1" applyFill="1"/>
    <xf numFmtId="4" fontId="56" fillId="31" borderId="11" xfId="0" applyNumberFormat="1" applyFont="1" applyFill="1" applyBorder="1"/>
    <xf numFmtId="3" fontId="35" fillId="0" borderId="69" xfId="0" applyNumberFormat="1" applyFont="1" applyFill="1" applyBorder="1" applyAlignment="1">
      <alignment horizontal="left" vertical="center" wrapText="1"/>
    </xf>
    <xf numFmtId="3" fontId="35" fillId="0" borderId="77" xfId="0" applyNumberFormat="1" applyFont="1" applyBorder="1" applyAlignment="1">
      <alignment horizontal="left" vertical="center" wrapText="1"/>
    </xf>
    <xf numFmtId="0" fontId="41" fillId="0" borderId="78" xfId="0" applyFont="1" applyBorder="1" applyAlignment="1">
      <alignment horizontal="center" vertical="center"/>
    </xf>
    <xf numFmtId="0" fontId="41" fillId="0" borderId="79" xfId="0" applyFont="1" applyBorder="1" applyAlignment="1">
      <alignment horizontal="center" vertical="center"/>
    </xf>
    <xf numFmtId="3" fontId="35" fillId="0" borderId="50" xfId="0" applyNumberFormat="1" applyFont="1" applyFill="1" applyBorder="1" applyAlignment="1">
      <alignment horizontal="left" vertical="center" wrapText="1"/>
    </xf>
    <xf numFmtId="0" fontId="41" fillId="0" borderId="40" xfId="0" applyFont="1" applyFill="1" applyBorder="1" applyAlignment="1">
      <alignment horizontal="center" vertical="center"/>
    </xf>
    <xf numFmtId="0" fontId="41" fillId="0" borderId="52" xfId="0" applyFont="1" applyFill="1" applyBorder="1" applyAlignment="1">
      <alignment horizontal="center" vertical="center"/>
    </xf>
    <xf numFmtId="3" fontId="54" fillId="0" borderId="52" xfId="49" applyNumberFormat="1" applyFont="1" applyFill="1" applyBorder="1" applyAlignment="1">
      <alignment horizontal="left" vertical="center" wrapText="1"/>
    </xf>
    <xf numFmtId="4" fontId="42" fillId="0" borderId="0" xfId="47" applyNumberFormat="1" applyFont="1" applyBorder="1" applyAlignment="1">
      <alignment vertical="center"/>
    </xf>
    <xf numFmtId="4" fontId="42" fillId="0" borderId="0" xfId="47" applyNumberFormat="1" applyFont="1" applyBorder="1" applyAlignment="1">
      <alignment horizontal="right" vertical="center"/>
    </xf>
    <xf numFmtId="4" fontId="42" fillId="0" borderId="42" xfId="47" applyNumberFormat="1" applyFont="1" applyBorder="1" applyAlignment="1">
      <alignment vertical="center"/>
    </xf>
    <xf numFmtId="4" fontId="42" fillId="0" borderId="44" xfId="47" applyNumberFormat="1" applyFont="1" applyBorder="1" applyAlignment="1">
      <alignment vertical="center"/>
    </xf>
    <xf numFmtId="4" fontId="42" fillId="0" borderId="49" xfId="47" applyNumberFormat="1" applyFont="1" applyBorder="1" applyAlignment="1">
      <alignment vertical="center"/>
    </xf>
    <xf numFmtId="4" fontId="42" fillId="0" borderId="49" xfId="47" applyNumberFormat="1" applyFont="1" applyBorder="1" applyAlignment="1">
      <alignment horizontal="right" vertical="center"/>
    </xf>
    <xf numFmtId="0" fontId="53" fillId="0" borderId="50" xfId="0" applyFont="1" applyBorder="1" applyAlignment="1">
      <alignment horizontal="left" vertical="center"/>
    </xf>
    <xf numFmtId="0" fontId="41" fillId="0" borderId="43" xfId="0" applyFont="1" applyBorder="1" applyAlignment="1">
      <alignment horizontal="center" vertical="center"/>
    </xf>
    <xf numFmtId="0" fontId="41" fillId="0" borderId="66" xfId="0" applyFont="1" applyFill="1" applyBorder="1" applyAlignment="1">
      <alignment horizontal="center" vertical="center"/>
    </xf>
    <xf numFmtId="3" fontId="35" fillId="0" borderId="60" xfId="0" applyNumberFormat="1" applyFont="1" applyFill="1" applyBorder="1" applyAlignment="1">
      <alignment horizontal="left" vertical="center" wrapText="1"/>
    </xf>
    <xf numFmtId="3" fontId="35" fillId="0" borderId="80" xfId="0" applyNumberFormat="1" applyFont="1" applyBorder="1" applyAlignment="1">
      <alignment horizontal="left" vertical="center" wrapText="1"/>
    </xf>
    <xf numFmtId="0" fontId="41" fillId="0" borderId="80" xfId="0" applyFont="1" applyBorder="1" applyAlignment="1">
      <alignment horizontal="left" vertical="center"/>
    </xf>
    <xf numFmtId="3" fontId="42" fillId="43" borderId="40" xfId="47" applyNumberFormat="1" applyFont="1" applyFill="1" applyBorder="1" applyAlignment="1">
      <alignment horizontal="right" vertical="center"/>
    </xf>
    <xf numFmtId="3" fontId="23" fillId="0" borderId="50" xfId="49" applyNumberFormat="1" applyFont="1" applyFill="1" applyBorder="1" applyAlignment="1">
      <alignment horizontal="left" vertical="center" wrapText="1"/>
    </xf>
    <xf numFmtId="3" fontId="36" fillId="0" borderId="41" xfId="49" applyNumberFormat="1" applyFont="1" applyFill="1" applyBorder="1" applyAlignment="1">
      <alignment horizontal="left" vertical="center" wrapText="1"/>
    </xf>
    <xf numFmtId="3" fontId="22" fillId="0" borderId="43" xfId="49" applyNumberFormat="1" applyFont="1" applyFill="1" applyBorder="1" applyAlignment="1">
      <alignment horizontal="left" vertical="center" wrapText="1"/>
    </xf>
    <xf numFmtId="3" fontId="54" fillId="0" borderId="46" xfId="49" applyNumberFormat="1" applyFont="1" applyFill="1" applyBorder="1" applyAlignment="1">
      <alignment horizontal="left" vertical="center" wrapText="1"/>
    </xf>
    <xf numFmtId="3" fontId="42" fillId="35" borderId="40" xfId="47" applyNumberFormat="1" applyFont="1" applyFill="1" applyBorder="1" applyAlignment="1">
      <alignment horizontal="right" vertical="center"/>
    </xf>
    <xf numFmtId="0" fontId="53" fillId="0" borderId="50" xfId="0" applyFont="1" applyBorder="1" applyAlignment="1">
      <alignment horizontal="center" vertical="center"/>
    </xf>
    <xf numFmtId="3" fontId="22" fillId="0" borderId="41" xfId="49" applyNumberFormat="1" applyFont="1" applyFill="1" applyBorder="1" applyAlignment="1">
      <alignment horizontal="left" vertical="center" wrapText="1"/>
    </xf>
    <xf numFmtId="3" fontId="41" fillId="0" borderId="35" xfId="47" applyNumberFormat="1" applyFont="1" applyBorder="1" applyAlignment="1">
      <alignment horizontal="right" vertical="center"/>
    </xf>
    <xf numFmtId="3" fontId="54" fillId="0" borderId="47" xfId="49" applyNumberFormat="1" applyFont="1" applyFill="1" applyBorder="1" applyAlignment="1">
      <alignment horizontal="left" vertical="center" wrapText="1"/>
    </xf>
    <xf numFmtId="3" fontId="42" fillId="0" borderId="52" xfId="47" applyNumberFormat="1" applyFont="1" applyFill="1" applyBorder="1" applyAlignment="1">
      <alignment horizontal="right" vertical="center"/>
    </xf>
    <xf numFmtId="3" fontId="42" fillId="0" borderId="49" xfId="47" applyNumberFormat="1" applyFont="1" applyFill="1" applyBorder="1" applyAlignment="1">
      <alignment horizontal="right" vertical="center"/>
    </xf>
    <xf numFmtId="0" fontId="41" fillId="0" borderId="73" xfId="0" applyFont="1" applyFill="1" applyBorder="1" applyAlignment="1">
      <alignment horizontal="center" vertical="center"/>
    </xf>
    <xf numFmtId="0" fontId="42" fillId="0" borderId="33" xfId="0" applyFont="1" applyFill="1" applyBorder="1" applyAlignment="1">
      <alignment vertical="center" wrapText="1"/>
    </xf>
    <xf numFmtId="0" fontId="53" fillId="0" borderId="47" xfId="0" applyFont="1" applyFill="1" applyBorder="1" applyAlignment="1">
      <alignment vertical="center" wrapText="1"/>
    </xf>
    <xf numFmtId="3" fontId="35" fillId="0" borderId="48" xfId="0" applyNumberFormat="1" applyFont="1" applyFill="1" applyBorder="1" applyAlignment="1">
      <alignment horizontal="left" vertical="center" wrapText="1"/>
    </xf>
    <xf numFmtId="3" fontId="35" fillId="0" borderId="68" xfId="0" applyNumberFormat="1" applyFont="1" applyFill="1" applyBorder="1" applyAlignment="1">
      <alignment horizontal="left" vertical="center" wrapText="1"/>
    </xf>
    <xf numFmtId="0" fontId="41" fillId="0" borderId="49" xfId="0" applyFont="1" applyFill="1" applyBorder="1" applyAlignment="1">
      <alignment horizontal="center" vertical="center"/>
    </xf>
    <xf numFmtId="3" fontId="42" fillId="0" borderId="50" xfId="47" applyNumberFormat="1" applyFont="1" applyFill="1" applyBorder="1" applyAlignment="1">
      <alignment horizontal="right" vertical="center"/>
    </xf>
    <xf numFmtId="3" fontId="35" fillId="0" borderId="81" xfId="0" applyNumberFormat="1" applyFont="1" applyFill="1" applyBorder="1" applyAlignment="1">
      <alignment horizontal="left" vertical="center" wrapText="1"/>
    </xf>
    <xf numFmtId="0" fontId="42" fillId="0" borderId="0" xfId="0" applyFont="1" applyBorder="1" applyAlignment="1">
      <alignment horizontal="center" vertical="center" wrapText="1"/>
    </xf>
    <xf numFmtId="0" fontId="42" fillId="0" borderId="43" xfId="0" applyFont="1" applyFill="1" applyBorder="1" applyAlignment="1">
      <alignment horizontal="left" vertical="center"/>
    </xf>
    <xf numFmtId="0" fontId="53" fillId="0" borderId="47" xfId="0" applyFont="1" applyBorder="1" applyAlignment="1">
      <alignment vertical="center" wrapText="1"/>
    </xf>
    <xf numFmtId="0" fontId="42" fillId="0" borderId="42" xfId="0" applyFont="1" applyFill="1" applyBorder="1" applyAlignment="1">
      <alignment horizontal="left" vertical="center" wrapText="1"/>
    </xf>
    <xf numFmtId="0" fontId="53" fillId="0" borderId="48" xfId="0" applyFont="1" applyBorder="1" applyAlignment="1">
      <alignment vertical="center" wrapText="1"/>
    </xf>
    <xf numFmtId="0" fontId="42" fillId="0" borderId="49" xfId="0" applyFont="1" applyFill="1" applyBorder="1" applyAlignment="1">
      <alignment horizontal="left" vertical="center"/>
    </xf>
    <xf numFmtId="3" fontId="22" fillId="0" borderId="42" xfId="49" applyNumberFormat="1" applyFont="1" applyFill="1" applyBorder="1" applyAlignment="1">
      <alignment horizontal="left" vertical="center" wrapText="1"/>
    </xf>
    <xf numFmtId="3" fontId="22" fillId="0" borderId="44" xfId="49" applyNumberFormat="1" applyFont="1" applyFill="1" applyBorder="1" applyAlignment="1">
      <alignment horizontal="left" vertical="center" wrapText="1"/>
    </xf>
    <xf numFmtId="3" fontId="54" fillId="0" borderId="48" xfId="49" applyNumberFormat="1" applyFont="1" applyFill="1" applyBorder="1" applyAlignment="1">
      <alignment horizontal="left" vertical="center" wrapText="1"/>
    </xf>
    <xf numFmtId="3" fontId="41" fillId="0" borderId="87" xfId="47" applyNumberFormat="1" applyFont="1" applyBorder="1" applyAlignment="1">
      <alignment horizontal="right" vertical="center"/>
    </xf>
    <xf numFmtId="3" fontId="23" fillId="0" borderId="52" xfId="49" applyNumberFormat="1" applyFont="1" applyFill="1" applyBorder="1" applyAlignment="1">
      <alignment horizontal="left" vertical="center" wrapText="1"/>
    </xf>
    <xf numFmtId="0" fontId="21" fillId="0" borderId="86" xfId="0" applyFont="1" applyFill="1" applyBorder="1" applyAlignment="1">
      <alignment horizontal="center" vertical="center" wrapText="1"/>
    </xf>
    <xf numFmtId="0" fontId="21" fillId="0" borderId="85" xfId="0" applyFont="1" applyBorder="1" applyAlignment="1">
      <alignment horizontal="center" vertical="center" wrapText="1"/>
    </xf>
    <xf numFmtId="3" fontId="35" fillId="0" borderId="82" xfId="0" applyNumberFormat="1" applyFont="1" applyBorder="1" applyAlignment="1">
      <alignment horizontal="left" vertical="center" wrapText="1"/>
    </xf>
    <xf numFmtId="3" fontId="41" fillId="0" borderId="41" xfId="47" applyNumberFormat="1" applyFont="1" applyFill="1" applyBorder="1" applyAlignment="1">
      <alignment horizontal="right" vertical="center"/>
    </xf>
    <xf numFmtId="3" fontId="41" fillId="0" borderId="43" xfId="47" applyNumberFormat="1" applyFont="1" applyFill="1" applyBorder="1" applyAlignment="1">
      <alignment horizontal="right" vertical="center"/>
    </xf>
    <xf numFmtId="0" fontId="53" fillId="0" borderId="0" xfId="0" applyFont="1" applyFill="1" applyBorder="1" applyAlignment="1">
      <alignment horizontal="center" vertical="center"/>
    </xf>
    <xf numFmtId="0" fontId="53" fillId="0" borderId="50" xfId="0" applyFont="1" applyFill="1" applyBorder="1" applyAlignment="1">
      <alignment horizontal="center" vertical="center"/>
    </xf>
    <xf numFmtId="3" fontId="41" fillId="0" borderId="46" xfId="47" applyNumberFormat="1" applyFont="1" applyFill="1" applyBorder="1" applyAlignment="1">
      <alignment horizontal="right" vertical="center"/>
    </xf>
    <xf numFmtId="0" fontId="41" fillId="0" borderId="33" xfId="0" applyFont="1" applyFill="1" applyBorder="1" applyAlignment="1">
      <alignment horizontal="center" vertical="center"/>
    </xf>
    <xf numFmtId="49" fontId="42" fillId="0" borderId="33" xfId="0" applyNumberFormat="1" applyFont="1" applyFill="1" applyBorder="1" applyAlignment="1">
      <alignment horizontal="left" vertical="center"/>
    </xf>
    <xf numFmtId="0" fontId="42" fillId="0" borderId="33" xfId="0" applyFont="1" applyFill="1" applyBorder="1" applyAlignment="1">
      <alignment horizontal="center" vertical="center"/>
    </xf>
    <xf numFmtId="3" fontId="41" fillId="0" borderId="12" xfId="47" applyNumberFormat="1" applyFont="1" applyFill="1" applyBorder="1" applyAlignment="1">
      <alignment horizontal="right" vertical="center"/>
    </xf>
    <xf numFmtId="0" fontId="41" fillId="0" borderId="43" xfId="0" applyFont="1" applyBorder="1"/>
    <xf numFmtId="49" fontId="42" fillId="0" borderId="20" xfId="0" applyNumberFormat="1" applyFont="1" applyBorder="1" applyAlignment="1">
      <alignment horizontal="left" vertical="center"/>
    </xf>
    <xf numFmtId="0" fontId="42" fillId="0" borderId="20" xfId="0" applyFont="1" applyBorder="1" applyAlignment="1">
      <alignment horizontal="center" vertical="center"/>
    </xf>
    <xf numFmtId="3" fontId="58" fillId="42" borderId="40" xfId="47" applyNumberFormat="1" applyFont="1" applyFill="1" applyBorder="1" applyAlignment="1">
      <alignment horizontal="right" vertical="center"/>
    </xf>
    <xf numFmtId="0" fontId="41" fillId="0" borderId="80" xfId="0" applyFont="1" applyFill="1" applyBorder="1" applyAlignment="1">
      <alignment vertical="center" wrapText="1"/>
    </xf>
    <xf numFmtId="3" fontId="42" fillId="42" borderId="20" xfId="47" applyNumberFormat="1" applyFont="1" applyFill="1" applyBorder="1" applyAlignment="1">
      <alignment horizontal="right" vertical="center"/>
    </xf>
    <xf numFmtId="3" fontId="42" fillId="42" borderId="51" xfId="47" applyNumberFormat="1" applyFont="1" applyFill="1" applyBorder="1" applyAlignment="1">
      <alignment horizontal="right" vertical="center"/>
    </xf>
    <xf numFmtId="0" fontId="41" fillId="0" borderId="73" xfId="0" applyFont="1" applyBorder="1" applyAlignment="1">
      <alignment horizontal="center" vertical="center"/>
    </xf>
    <xf numFmtId="3" fontId="41" fillId="0" borderId="12" xfId="47" applyNumberFormat="1" applyFont="1" applyBorder="1" applyAlignment="1">
      <alignment horizontal="right" vertical="center"/>
    </xf>
    <xf numFmtId="0" fontId="41" fillId="0" borderId="74" xfId="0" applyFont="1" applyFill="1" applyBorder="1" applyAlignment="1">
      <alignment horizontal="left" vertical="center"/>
    </xf>
    <xf numFmtId="0" fontId="40" fillId="29" borderId="23" xfId="0" applyFont="1" applyFill="1" applyBorder="1" applyAlignment="1">
      <alignment horizontal="left" wrapText="1"/>
    </xf>
    <xf numFmtId="49" fontId="38" fillId="29" borderId="23" xfId="0" applyNumberFormat="1" applyFont="1" applyFill="1" applyBorder="1" applyAlignment="1">
      <alignment horizontal="center" vertical="center"/>
    </xf>
    <xf numFmtId="49" fontId="40" fillId="29" borderId="23" xfId="0" applyNumberFormat="1" applyFont="1" applyFill="1" applyBorder="1" applyAlignment="1">
      <alignment horizontal="center"/>
    </xf>
    <xf numFmtId="2" fontId="45" fillId="0" borderId="18" xfId="0" applyNumberFormat="1" applyFont="1" applyFill="1" applyBorder="1" applyAlignment="1" applyProtection="1">
      <alignment horizontal="left" wrapText="1"/>
    </xf>
    <xf numFmtId="0" fontId="46" fillId="0" borderId="18" xfId="0" applyFont="1" applyBorder="1" applyAlignment="1">
      <alignment horizontal="left" wrapText="1"/>
    </xf>
    <xf numFmtId="0" fontId="44" fillId="31" borderId="11" xfId="0" applyFont="1" applyFill="1" applyBorder="1" applyAlignment="1" applyProtection="1">
      <alignment horizontal="left" vertical="top" wrapText="1"/>
    </xf>
    <xf numFmtId="0" fontId="45" fillId="0" borderId="18" xfId="0" applyFont="1" applyFill="1" applyBorder="1" applyAlignment="1" applyProtection="1">
      <alignment horizontal="left" wrapText="1"/>
    </xf>
    <xf numFmtId="0" fontId="45" fillId="0" borderId="19" xfId="0" applyFont="1" applyFill="1" applyBorder="1" applyAlignment="1" applyProtection="1">
      <alignment horizontal="left" vertical="top" wrapText="1"/>
    </xf>
    <xf numFmtId="0" fontId="45" fillId="0" borderId="18" xfId="0" applyFont="1" applyBorder="1" applyAlignment="1" applyProtection="1">
      <alignment horizontal="left" vertical="top" wrapText="1"/>
    </xf>
    <xf numFmtId="0" fontId="45" fillId="0" borderId="19" xfId="0" applyFont="1" applyBorder="1" applyAlignment="1" applyProtection="1">
      <alignment horizontal="left" vertical="top" wrapText="1"/>
    </xf>
    <xf numFmtId="0" fontId="42" fillId="29" borderId="18" xfId="0" applyFont="1" applyFill="1" applyBorder="1"/>
    <xf numFmtId="0" fontId="56" fillId="29" borderId="18" xfId="0" applyFont="1" applyFill="1" applyBorder="1" applyAlignment="1">
      <alignment horizontal="center" vertical="center"/>
    </xf>
    <xf numFmtId="0" fontId="56" fillId="29" borderId="18" xfId="0" applyFont="1" applyFill="1" applyBorder="1" applyAlignment="1">
      <alignment horizontal="left"/>
    </xf>
    <xf numFmtId="4" fontId="56" fillId="29" borderId="19" xfId="47" applyNumberFormat="1" applyFont="1" applyFill="1" applyBorder="1"/>
    <xf numFmtId="4" fontId="56" fillId="29" borderId="19" xfId="0" applyNumberFormat="1" applyFont="1" applyFill="1" applyBorder="1"/>
    <xf numFmtId="4" fontId="56" fillId="29" borderId="18" xfId="47" applyNumberFormat="1" applyFont="1" applyFill="1" applyBorder="1"/>
    <xf numFmtId="0" fontId="56" fillId="29" borderId="18" xfId="0" applyFont="1" applyFill="1" applyBorder="1"/>
    <xf numFmtId="4" fontId="41" fillId="0" borderId="0" xfId="0" applyNumberFormat="1" applyFont="1" applyFill="1" applyBorder="1"/>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1" fillId="0" borderId="49" xfId="0" applyFont="1" applyBorder="1" applyAlignment="1">
      <alignment horizontal="center" vertical="center"/>
    </xf>
    <xf numFmtId="0" fontId="41" fillId="0" borderId="50" xfId="0" applyFont="1" applyBorder="1" applyAlignment="1">
      <alignment horizontal="center" vertical="center"/>
    </xf>
    <xf numFmtId="3" fontId="42" fillId="35" borderId="50" xfId="47" applyNumberFormat="1" applyFont="1" applyFill="1" applyBorder="1" applyAlignment="1">
      <alignment horizontal="right" vertical="center"/>
    </xf>
    <xf numFmtId="0" fontId="41" fillId="0" borderId="88" xfId="0" applyFont="1" applyFill="1" applyBorder="1" applyAlignment="1">
      <alignment horizontal="center" vertical="center"/>
    </xf>
    <xf numFmtId="0" fontId="41" fillId="0" borderId="89" xfId="0" applyFont="1" applyFill="1" applyBorder="1" applyAlignment="1">
      <alignment vertical="center" wrapText="1"/>
    </xf>
    <xf numFmtId="0" fontId="41" fillId="0" borderId="90" xfId="0" applyFont="1" applyFill="1" applyBorder="1" applyAlignment="1">
      <alignment horizontal="center" vertical="center"/>
    </xf>
    <xf numFmtId="3" fontId="35" fillId="0" borderId="91" xfId="0" applyNumberFormat="1" applyFont="1" applyFill="1" applyBorder="1" applyAlignment="1">
      <alignment horizontal="left" vertical="center" wrapText="1"/>
    </xf>
    <xf numFmtId="3" fontId="41" fillId="0" borderId="92" xfId="47" applyNumberFormat="1" applyFont="1" applyFill="1" applyBorder="1" applyAlignment="1">
      <alignment horizontal="right" vertical="center"/>
    </xf>
    <xf numFmtId="0" fontId="41" fillId="0" borderId="90" xfId="0" applyFont="1" applyBorder="1" applyAlignment="1">
      <alignment horizontal="center" vertical="center"/>
    </xf>
    <xf numFmtId="3" fontId="23" fillId="0" borderId="91" xfId="49" applyNumberFormat="1" applyFont="1" applyFill="1" applyBorder="1" applyAlignment="1">
      <alignment horizontal="left" vertical="center" wrapText="1"/>
    </xf>
    <xf numFmtId="0" fontId="41" fillId="0" borderId="43" xfId="0" applyFont="1" applyBorder="1" applyAlignment="1">
      <alignment horizontal="center" vertical="center"/>
    </xf>
    <xf numFmtId="0" fontId="21" fillId="0" borderId="60" xfId="0" applyFont="1" applyFill="1" applyBorder="1" applyAlignment="1">
      <alignment horizontal="center" vertical="center" wrapText="1"/>
    </xf>
    <xf numFmtId="3" fontId="21" fillId="0" borderId="69" xfId="0" applyNumberFormat="1" applyFont="1" applyFill="1" applyBorder="1" applyAlignment="1">
      <alignment horizontal="left" vertical="center" wrapText="1"/>
    </xf>
    <xf numFmtId="3" fontId="35" fillId="0" borderId="20" xfId="0" applyNumberFormat="1" applyFont="1" applyFill="1" applyBorder="1" applyAlignment="1">
      <alignment horizontal="left" vertical="center" wrapText="1"/>
    </xf>
    <xf numFmtId="3" fontId="41" fillId="0" borderId="51" xfId="47" applyNumberFormat="1" applyFont="1" applyFill="1" applyBorder="1" applyAlignment="1">
      <alignment horizontal="right" vertical="center"/>
    </xf>
    <xf numFmtId="0" fontId="41" fillId="0" borderId="44" xfId="0" applyFont="1" applyFill="1" applyBorder="1" applyAlignment="1">
      <alignment horizontal="center" vertical="center"/>
    </xf>
    <xf numFmtId="0" fontId="59" fillId="0" borderId="0" xfId="0" applyFont="1" applyFill="1" applyBorder="1" applyAlignment="1">
      <alignment horizontal="center" vertical="center"/>
    </xf>
    <xf numFmtId="3" fontId="59" fillId="0" borderId="52" xfId="47" applyNumberFormat="1" applyFont="1" applyFill="1" applyBorder="1" applyAlignment="1">
      <alignment horizontal="right" vertical="center"/>
    </xf>
    <xf numFmtId="0" fontId="64" fillId="39" borderId="51" xfId="0" applyFont="1" applyFill="1" applyBorder="1" applyAlignment="1">
      <alignment horizontal="center" vertical="center"/>
    </xf>
    <xf numFmtId="0" fontId="65" fillId="39" borderId="45" xfId="0" applyFont="1" applyFill="1" applyBorder="1" applyAlignment="1">
      <alignment vertical="center" wrapText="1"/>
    </xf>
    <xf numFmtId="3" fontId="65" fillId="39" borderId="51" xfId="47" applyNumberFormat="1" applyFont="1" applyFill="1" applyBorder="1" applyAlignment="1">
      <alignment horizontal="right" vertical="center"/>
    </xf>
    <xf numFmtId="3" fontId="65" fillId="39" borderId="20" xfId="47" applyNumberFormat="1" applyFont="1" applyFill="1" applyBorder="1" applyAlignment="1">
      <alignment horizontal="right" vertical="center"/>
    </xf>
    <xf numFmtId="3" fontId="23" fillId="0" borderId="63" xfId="49" applyNumberFormat="1" applyFont="1" applyFill="1" applyBorder="1" applyAlignment="1">
      <alignment horizontal="left" vertical="top" wrapText="1"/>
    </xf>
    <xf numFmtId="0" fontId="42" fillId="0" borderId="51" xfId="0" applyFont="1" applyFill="1" applyBorder="1" applyAlignment="1">
      <alignment horizontal="left" vertical="center"/>
    </xf>
    <xf numFmtId="0" fontId="41" fillId="0" borderId="43" xfId="0" applyFont="1" applyBorder="1" applyAlignment="1">
      <alignment horizontal="center" vertical="center"/>
    </xf>
    <xf numFmtId="0" fontId="41" fillId="0" borderId="43" xfId="0" applyFont="1" applyBorder="1" applyAlignment="1">
      <alignment horizontal="center" vertical="center"/>
    </xf>
    <xf numFmtId="0" fontId="21" fillId="0" borderId="50" xfId="0" applyFont="1" applyFill="1" applyBorder="1" applyAlignment="1">
      <alignment horizontal="center" vertical="center" wrapText="1"/>
    </xf>
    <xf numFmtId="0" fontId="41" fillId="0" borderId="50" xfId="0" applyFont="1" applyFill="1" applyBorder="1" applyAlignment="1">
      <alignment horizontal="center" vertical="center"/>
    </xf>
    <xf numFmtId="0" fontId="59" fillId="0" borderId="0" xfId="0" applyFont="1" applyBorder="1" applyAlignment="1">
      <alignment horizontal="center" vertical="center"/>
    </xf>
    <xf numFmtId="3" fontId="35" fillId="0" borderId="95" xfId="0" applyNumberFormat="1" applyFont="1" applyFill="1" applyBorder="1" applyAlignment="1">
      <alignment horizontal="left" vertical="center" wrapText="1"/>
    </xf>
    <xf numFmtId="3" fontId="35" fillId="0" borderId="94" xfId="0" applyNumberFormat="1" applyFont="1" applyFill="1" applyBorder="1" applyAlignment="1">
      <alignment horizontal="left" vertical="center" wrapText="1"/>
    </xf>
    <xf numFmtId="3" fontId="35" fillId="0" borderId="64" xfId="0" applyNumberFormat="1" applyFont="1" applyBorder="1" applyAlignment="1">
      <alignment horizontal="left" vertical="center" wrapText="1"/>
    </xf>
    <xf numFmtId="0" fontId="41" fillId="0" borderId="46" xfId="0" applyFont="1" applyFill="1" applyBorder="1" applyAlignment="1">
      <alignment horizontal="left" vertical="center"/>
    </xf>
    <xf numFmtId="0" fontId="41" fillId="0" borderId="96" xfId="0" applyFont="1" applyFill="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3" fontId="42" fillId="35" borderId="51" xfId="47" applyNumberFormat="1" applyFont="1" applyFill="1" applyBorder="1" applyAlignment="1">
      <alignment horizontal="right" vertical="center"/>
    </xf>
    <xf numFmtId="3" fontId="35" fillId="0" borderId="66" xfId="0" applyNumberFormat="1" applyFont="1" applyFill="1" applyBorder="1" applyAlignment="1">
      <alignment horizontal="left" vertical="center" wrapText="1"/>
    </xf>
    <xf numFmtId="0" fontId="41" fillId="0" borderId="46" xfId="0" applyFont="1" applyBorder="1" applyAlignment="1">
      <alignment vertical="center" wrapText="1"/>
    </xf>
    <xf numFmtId="3" fontId="41" fillId="0" borderId="66" xfId="47" applyNumberFormat="1" applyFont="1" applyFill="1" applyBorder="1" applyAlignment="1">
      <alignment horizontal="right" vertical="center"/>
    </xf>
    <xf numFmtId="3" fontId="41" fillId="0" borderId="64" xfId="47" applyNumberFormat="1" applyFont="1" applyFill="1" applyBorder="1" applyAlignment="1">
      <alignment horizontal="right" vertical="top"/>
    </xf>
    <xf numFmtId="0" fontId="41" fillId="0" borderId="75" xfId="0" applyFont="1" applyFill="1" applyBorder="1" applyAlignment="1">
      <alignment horizontal="center" vertical="center"/>
    </xf>
    <xf numFmtId="0" fontId="41" fillId="0" borderId="99" xfId="0" applyFont="1" applyFill="1" applyBorder="1" applyAlignment="1">
      <alignment horizontal="center" vertical="center"/>
    </xf>
    <xf numFmtId="3" fontId="23" fillId="0" borderId="100" xfId="49" applyNumberFormat="1" applyFont="1" applyFill="1" applyBorder="1" applyAlignment="1">
      <alignment horizontal="left" vertical="center" wrapText="1"/>
    </xf>
    <xf numFmtId="3" fontId="41" fillId="0" borderId="101" xfId="47" applyNumberFormat="1" applyFont="1" applyFill="1" applyBorder="1" applyAlignment="1">
      <alignment horizontal="right" vertical="center"/>
    </xf>
    <xf numFmtId="0" fontId="59" fillId="0" borderId="66" xfId="0" applyFont="1" applyFill="1" applyBorder="1" applyAlignment="1">
      <alignment horizontal="center" vertical="center"/>
    </xf>
    <xf numFmtId="3" fontId="59" fillId="0" borderId="63" xfId="47" applyNumberFormat="1" applyFont="1" applyFill="1" applyBorder="1" applyAlignment="1">
      <alignment horizontal="right" vertical="center"/>
    </xf>
    <xf numFmtId="3" fontId="59" fillId="0" borderId="64" xfId="47" applyNumberFormat="1" applyFont="1" applyFill="1" applyBorder="1" applyAlignment="1">
      <alignment horizontal="right" vertical="center"/>
    </xf>
    <xf numFmtId="0" fontId="59" fillId="0" borderId="75" xfId="0" applyFont="1" applyFill="1" applyBorder="1" applyAlignment="1">
      <alignment horizontal="center" vertical="center"/>
    </xf>
    <xf numFmtId="3" fontId="59" fillId="0" borderId="71" xfId="47" applyNumberFormat="1" applyFont="1" applyFill="1" applyBorder="1" applyAlignment="1">
      <alignment horizontal="right" vertical="center"/>
    </xf>
    <xf numFmtId="0" fontId="41" fillId="0" borderId="43" xfId="0" applyFont="1" applyBorder="1" applyAlignment="1">
      <alignment horizontal="center" vertical="center"/>
    </xf>
    <xf numFmtId="49" fontId="42" fillId="29" borderId="18" xfId="0" applyNumberFormat="1" applyFont="1" applyFill="1" applyBorder="1" applyAlignment="1">
      <alignment horizontal="right"/>
    </xf>
    <xf numFmtId="4" fontId="42" fillId="40" borderId="50" xfId="47" applyNumberFormat="1" applyFont="1" applyFill="1" applyBorder="1" applyAlignment="1">
      <alignment horizontal="right" vertical="center"/>
    </xf>
    <xf numFmtId="4" fontId="41" fillId="0" borderId="60" xfId="47" applyNumberFormat="1" applyFont="1" applyBorder="1" applyAlignment="1">
      <alignment horizontal="right" vertical="center"/>
    </xf>
    <xf numFmtId="4" fontId="41" fillId="0" borderId="63" xfId="47" applyNumberFormat="1" applyFont="1" applyBorder="1" applyAlignment="1">
      <alignment vertical="center"/>
    </xf>
    <xf numFmtId="4" fontId="41" fillId="0" borderId="64" xfId="47" applyNumberFormat="1" applyFont="1" applyBorder="1" applyAlignment="1">
      <alignment vertical="center"/>
    </xf>
    <xf numFmtId="0" fontId="41" fillId="0" borderId="19" xfId="0" applyFont="1" applyBorder="1" applyAlignment="1">
      <alignment horizontal="center" vertical="center"/>
    </xf>
    <xf numFmtId="0" fontId="67" fillId="0" borderId="19" xfId="0" applyFont="1" applyFill="1" applyBorder="1" applyAlignment="1" applyProtection="1">
      <alignment horizontal="center"/>
    </xf>
    <xf numFmtId="0" fontId="67" fillId="0" borderId="18" xfId="0" applyFont="1" applyFill="1" applyBorder="1" applyAlignment="1" applyProtection="1">
      <alignment horizontal="center"/>
    </xf>
    <xf numFmtId="0" fontId="67" fillId="0" borderId="19" xfId="0" applyFont="1" applyFill="1" applyBorder="1" applyAlignment="1" applyProtection="1">
      <alignment horizontal="center" vertical="top"/>
    </xf>
    <xf numFmtId="0" fontId="67" fillId="0" borderId="18" xfId="0" applyFont="1" applyFill="1" applyBorder="1" applyAlignment="1" applyProtection="1">
      <alignment horizontal="center" vertical="top"/>
    </xf>
    <xf numFmtId="0" fontId="45" fillId="0" borderId="19" xfId="0" applyFont="1" applyFill="1" applyBorder="1" applyAlignment="1" applyProtection="1">
      <alignment horizontal="left" wrapText="1"/>
    </xf>
    <xf numFmtId="0" fontId="56" fillId="29" borderId="18" xfId="0" applyFont="1" applyFill="1" applyBorder="1" applyAlignment="1">
      <alignment horizontal="left" wrapText="1"/>
    </xf>
    <xf numFmtId="3" fontId="59" fillId="0" borderId="60" xfId="47" applyNumberFormat="1" applyFont="1" applyFill="1" applyBorder="1" applyAlignment="1">
      <alignment horizontal="right" vertical="center"/>
    </xf>
    <xf numFmtId="0" fontId="52" fillId="44" borderId="18" xfId="0" applyFont="1" applyFill="1" applyBorder="1" applyAlignment="1">
      <alignment horizontal="center" vertical="center" wrapText="1"/>
    </xf>
    <xf numFmtId="168" fontId="37" fillId="6" borderId="35" xfId="0" applyNumberFormat="1" applyFont="1" applyFill="1" applyBorder="1" applyAlignment="1">
      <alignment horizontal="center" vertical="center" wrapText="1" shrinkToFit="1"/>
    </xf>
    <xf numFmtId="49" fontId="37" fillId="25" borderId="18" xfId="29" applyNumberFormat="1" applyFont="1" applyFill="1" applyBorder="1" applyAlignment="1" applyProtection="1">
      <alignment horizontal="right" vertical="center" wrapText="1"/>
    </xf>
    <xf numFmtId="49" fontId="37" fillId="26" borderId="18" xfId="29" applyNumberFormat="1" applyFont="1" applyFill="1" applyBorder="1" applyAlignment="1" applyProtection="1">
      <alignment horizontal="right" vertical="center" wrapText="1"/>
    </xf>
    <xf numFmtId="49" fontId="37" fillId="27" borderId="18" xfId="29" applyNumberFormat="1" applyFont="1" applyFill="1" applyBorder="1" applyAlignment="1" applyProtection="1">
      <alignment horizontal="right" vertical="center" wrapText="1"/>
    </xf>
    <xf numFmtId="49" fontId="37" fillId="22" borderId="18" xfId="29" applyNumberFormat="1" applyFont="1" applyFill="1" applyBorder="1" applyAlignment="1" applyProtection="1">
      <alignment horizontal="right" vertical="center" wrapText="1"/>
    </xf>
    <xf numFmtId="49" fontId="52" fillId="0" borderId="18" xfId="29" applyNumberFormat="1" applyFont="1" applyFill="1" applyBorder="1" applyAlignment="1" applyProtection="1">
      <alignment horizontal="right" vertical="center" wrapText="1"/>
    </xf>
    <xf numFmtId="49" fontId="37" fillId="28" borderId="18" xfId="29" applyNumberFormat="1" applyFont="1" applyFill="1" applyBorder="1" applyAlignment="1" applyProtection="1">
      <alignment horizontal="right" vertical="center" wrapText="1"/>
    </xf>
    <xf numFmtId="49" fontId="37" fillId="20" borderId="18" xfId="29" applyNumberFormat="1" applyFont="1" applyFill="1" applyBorder="1" applyAlignment="1" applyProtection="1">
      <alignment horizontal="right" vertical="center" wrapText="1"/>
    </xf>
    <xf numFmtId="49" fontId="37" fillId="28" borderId="18" xfId="0" applyNumberFormat="1" applyFont="1" applyFill="1" applyBorder="1" applyAlignment="1">
      <alignment horizontal="right" vertical="top" wrapText="1"/>
    </xf>
    <xf numFmtId="49" fontId="37" fillId="32" borderId="18" xfId="0" applyNumberFormat="1" applyFont="1" applyFill="1" applyBorder="1" applyAlignment="1">
      <alignment horizontal="right" vertical="center" wrapText="1"/>
    </xf>
    <xf numFmtId="49" fontId="41" fillId="0" borderId="0" xfId="0" applyNumberFormat="1" applyFont="1" applyAlignment="1">
      <alignment horizontal="center" vertical="center"/>
    </xf>
    <xf numFmtId="49" fontId="41" fillId="0" borderId="11" xfId="0" applyNumberFormat="1" applyFont="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1" fillId="42" borderId="11" xfId="0" applyFont="1" applyFill="1" applyBorder="1"/>
    <xf numFmtId="3" fontId="41" fillId="0" borderId="63" xfId="47" applyNumberFormat="1" applyFont="1" applyFill="1" applyBorder="1" applyAlignment="1">
      <alignment horizontal="right" vertical="top"/>
    </xf>
    <xf numFmtId="3" fontId="41" fillId="0" borderId="50" xfId="47" applyNumberFormat="1" applyFont="1" applyFill="1" applyBorder="1" applyAlignment="1">
      <alignment horizontal="right" vertical="center"/>
    </xf>
    <xf numFmtId="0" fontId="42" fillId="0" borderId="20" xfId="0" applyFont="1" applyFill="1" applyBorder="1" applyAlignment="1">
      <alignment horizontal="left" vertical="center"/>
    </xf>
    <xf numFmtId="0" fontId="41" fillId="0" borderId="102" xfId="0" applyFont="1" applyFill="1" applyBorder="1" applyAlignment="1">
      <alignment horizontal="center" vertical="center"/>
    </xf>
    <xf numFmtId="3" fontId="42" fillId="40" borderId="47" xfId="47" applyNumberFormat="1" applyFont="1" applyFill="1" applyBorder="1" applyAlignment="1">
      <alignment horizontal="right" vertical="center"/>
    </xf>
    <xf numFmtId="0" fontId="41" fillId="0" borderId="66" xfId="0" applyFont="1" applyFill="1" applyBorder="1" applyAlignment="1">
      <alignment vertical="center" wrapText="1"/>
    </xf>
    <xf numFmtId="3" fontId="59" fillId="0" borderId="66" xfId="47" applyNumberFormat="1" applyFont="1" applyFill="1" applyBorder="1" applyAlignment="1">
      <alignment horizontal="right" vertical="center"/>
    </xf>
    <xf numFmtId="0" fontId="41" fillId="0" borderId="102" xfId="0" applyFont="1" applyFill="1" applyBorder="1" applyAlignment="1">
      <alignment vertical="center" wrapText="1"/>
    </xf>
    <xf numFmtId="3" fontId="59" fillId="0" borderId="46" xfId="47" applyNumberFormat="1" applyFont="1" applyFill="1" applyBorder="1" applyAlignment="1">
      <alignment horizontal="right" vertical="center"/>
    </xf>
    <xf numFmtId="0" fontId="59" fillId="0" borderId="45" xfId="0" applyFont="1" applyBorder="1" applyAlignment="1">
      <alignment horizontal="center" vertical="center"/>
    </xf>
    <xf numFmtId="0" fontId="59" fillId="0" borderId="44" xfId="0" applyFont="1" applyBorder="1" applyAlignment="1">
      <alignment horizontal="center" vertical="center"/>
    </xf>
    <xf numFmtId="3" fontId="35" fillId="0" borderId="105" xfId="0" applyNumberFormat="1" applyFont="1" applyFill="1" applyBorder="1" applyAlignment="1">
      <alignment horizontal="left" vertical="center" wrapText="1"/>
    </xf>
    <xf numFmtId="0" fontId="59" fillId="0" borderId="102" xfId="0" applyFont="1" applyFill="1" applyBorder="1" applyAlignment="1">
      <alignment horizontal="center" vertical="center"/>
    </xf>
    <xf numFmtId="0" fontId="42" fillId="0" borderId="41" xfId="0" applyFont="1" applyFill="1" applyBorder="1" applyAlignment="1">
      <alignment horizontal="left" vertical="center"/>
    </xf>
    <xf numFmtId="4" fontId="42" fillId="35" borderId="46" xfId="47" applyNumberFormat="1" applyFont="1" applyFill="1" applyBorder="1" applyAlignment="1">
      <alignment horizontal="right" vertical="center"/>
    </xf>
    <xf numFmtId="4" fontId="42" fillId="0" borderId="0" xfId="47" applyNumberFormat="1" applyFont="1" applyFill="1" applyBorder="1" applyAlignment="1">
      <alignment horizontal="right" vertical="center"/>
    </xf>
    <xf numFmtId="4" fontId="42" fillId="0" borderId="33" xfId="47" applyNumberFormat="1" applyFont="1" applyFill="1" applyBorder="1" applyAlignment="1">
      <alignment horizontal="right" vertical="center"/>
    </xf>
    <xf numFmtId="4" fontId="42" fillId="0" borderId="42" xfId="47" applyNumberFormat="1" applyFont="1" applyFill="1" applyBorder="1" applyAlignment="1">
      <alignment horizontal="right" vertical="center"/>
    </xf>
    <xf numFmtId="4" fontId="42" fillId="0" borderId="44" xfId="47" applyNumberFormat="1" applyFont="1" applyFill="1" applyBorder="1" applyAlignment="1">
      <alignment horizontal="right" vertical="center"/>
    </xf>
    <xf numFmtId="3" fontId="42" fillId="0" borderId="20" xfId="47" applyNumberFormat="1" applyFont="1" applyFill="1" applyBorder="1" applyAlignment="1">
      <alignment horizontal="right" vertical="center"/>
    </xf>
    <xf numFmtId="0" fontId="42" fillId="0" borderId="49" xfId="0" applyFont="1" applyFill="1" applyBorder="1" applyAlignment="1">
      <alignment horizontal="left" vertical="center" wrapText="1"/>
    </xf>
    <xf numFmtId="49" fontId="63" fillId="0" borderId="0" xfId="0" applyNumberFormat="1" applyFont="1" applyBorder="1" applyAlignment="1">
      <alignment horizontal="left" vertical="center"/>
    </xf>
    <xf numFmtId="0" fontId="53" fillId="0" borderId="52" xfId="0" applyFont="1" applyBorder="1" applyAlignment="1">
      <alignment horizontal="left" vertical="center"/>
    </xf>
    <xf numFmtId="3" fontId="41" fillId="0" borderId="42" xfId="47" applyNumberFormat="1" applyFont="1" applyFill="1" applyBorder="1" applyAlignment="1">
      <alignment horizontal="right" vertical="center"/>
    </xf>
    <xf numFmtId="3" fontId="41" fillId="0" borderId="70" xfId="47" applyNumberFormat="1" applyFont="1" applyFill="1" applyBorder="1" applyAlignment="1">
      <alignment horizontal="right" vertical="center"/>
    </xf>
    <xf numFmtId="4" fontId="41" fillId="0" borderId="64" xfId="47" applyNumberFormat="1" applyFont="1" applyFill="1" applyBorder="1" applyAlignment="1">
      <alignment vertical="center"/>
    </xf>
    <xf numFmtId="3" fontId="41" fillId="0" borderId="60" xfId="47" applyNumberFormat="1" applyFont="1" applyFill="1" applyBorder="1" applyAlignment="1">
      <alignment horizontal="right" vertical="top"/>
    </xf>
    <xf numFmtId="49" fontId="50" fillId="0" borderId="11" xfId="0" applyNumberFormat="1" applyFont="1" applyBorder="1" applyAlignment="1">
      <alignment horizontal="center"/>
    </xf>
    <xf numFmtId="49" fontId="40" fillId="0" borderId="0" xfId="0" applyNumberFormat="1" applyFont="1" applyBorder="1" applyAlignment="1">
      <alignment horizontal="center" vertical="center" wrapText="1"/>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2" fillId="0" borderId="20" xfId="0" applyFont="1" applyFill="1" applyBorder="1" applyAlignment="1">
      <alignment horizontal="center" vertical="center"/>
    </xf>
    <xf numFmtId="0" fontId="53" fillId="0" borderId="48" xfId="0" applyFont="1" applyFill="1" applyBorder="1" applyAlignment="1">
      <alignment vertical="center" wrapText="1"/>
    </xf>
    <xf numFmtId="0" fontId="41" fillId="39" borderId="51" xfId="0" applyFont="1" applyFill="1" applyBorder="1" applyAlignment="1">
      <alignment horizontal="center" vertical="center"/>
    </xf>
    <xf numFmtId="49" fontId="41" fillId="0" borderId="33" xfId="0" applyNumberFormat="1" applyFont="1" applyBorder="1" applyAlignment="1">
      <alignment horizontal="left" vertical="center"/>
    </xf>
    <xf numFmtId="0" fontId="64" fillId="0" borderId="0" xfId="0" applyFont="1" applyFill="1" applyBorder="1" applyAlignment="1">
      <alignment horizontal="center" vertical="center"/>
    </xf>
    <xf numFmtId="0" fontId="65" fillId="0" borderId="0" xfId="0" applyFont="1" applyFill="1" applyBorder="1" applyAlignment="1">
      <alignment vertical="center" wrapText="1"/>
    </xf>
    <xf numFmtId="3" fontId="65" fillId="0" borderId="0" xfId="47" applyNumberFormat="1" applyFont="1" applyFill="1" applyBorder="1" applyAlignment="1">
      <alignment horizontal="right" vertical="center"/>
    </xf>
    <xf numFmtId="0" fontId="41" fillId="0" borderId="51" xfId="0" applyFont="1" applyFill="1" applyBorder="1" applyAlignment="1">
      <alignment horizontal="center" vertical="center"/>
    </xf>
    <xf numFmtId="0" fontId="41" fillId="0" borderId="20" xfId="0" applyFont="1" applyFill="1" applyBorder="1" applyAlignment="1">
      <alignment horizontal="center" vertical="center"/>
    </xf>
    <xf numFmtId="49" fontId="42" fillId="0" borderId="20" xfId="0" applyNumberFormat="1" applyFont="1" applyFill="1" applyBorder="1" applyAlignment="1">
      <alignment horizontal="left" vertical="center"/>
    </xf>
    <xf numFmtId="0" fontId="42" fillId="0" borderId="20" xfId="0" applyFont="1" applyFill="1" applyBorder="1" applyAlignment="1">
      <alignment horizontal="left" vertical="center" wrapText="1"/>
    </xf>
    <xf numFmtId="3" fontId="58" fillId="0" borderId="20" xfId="47" applyNumberFormat="1" applyFont="1" applyFill="1" applyBorder="1" applyAlignment="1">
      <alignment horizontal="right" vertical="center"/>
    </xf>
    <xf numFmtId="3" fontId="41" fillId="0" borderId="33" xfId="47" applyNumberFormat="1" applyFont="1" applyFill="1" applyBorder="1" applyAlignment="1">
      <alignment horizontal="right" vertical="center"/>
    </xf>
    <xf numFmtId="0" fontId="53" fillId="0" borderId="43" xfId="0" applyFont="1" applyBorder="1" applyAlignment="1">
      <alignment horizontal="center" vertical="center"/>
    </xf>
    <xf numFmtId="3" fontId="41" fillId="0" borderId="44" xfId="47" applyNumberFormat="1" applyFont="1" applyBorder="1" applyAlignment="1">
      <alignment horizontal="right" vertical="center"/>
    </xf>
    <xf numFmtId="3" fontId="41" fillId="0" borderId="42" xfId="47" applyNumberFormat="1" applyFont="1" applyBorder="1" applyAlignment="1">
      <alignment horizontal="right" vertical="center"/>
    </xf>
    <xf numFmtId="0" fontId="36" fillId="0" borderId="21" xfId="49" applyFont="1" applyBorder="1" applyAlignment="1">
      <alignment horizontal="center" vertical="center" wrapText="1"/>
    </xf>
    <xf numFmtId="49" fontId="36" fillId="0" borderId="107" xfId="49" applyNumberFormat="1" applyFont="1" applyBorder="1" applyAlignment="1">
      <alignment horizontal="center" vertical="center" wrapText="1"/>
    </xf>
    <xf numFmtId="3" fontId="36" fillId="0" borderId="21" xfId="49" applyNumberFormat="1" applyFont="1" applyBorder="1" applyAlignment="1">
      <alignment horizontal="center" vertical="center" wrapText="1"/>
    </xf>
    <xf numFmtId="3" fontId="36" fillId="0" borderId="21" xfId="47" applyNumberFormat="1" applyFont="1" applyBorder="1" applyAlignment="1">
      <alignment horizontal="center" vertical="center" wrapText="1"/>
    </xf>
    <xf numFmtId="49" fontId="41" fillId="29" borderId="51" xfId="0" applyNumberFormat="1" applyFont="1" applyFill="1" applyBorder="1" applyAlignment="1">
      <alignment horizontal="left" vertical="center"/>
    </xf>
    <xf numFmtId="0" fontId="41" fillId="0" borderId="110" xfId="0" applyFont="1" applyBorder="1" applyAlignment="1">
      <alignment horizontal="center" vertical="center"/>
    </xf>
    <xf numFmtId="3" fontId="23" fillId="0" borderId="108" xfId="49" applyNumberFormat="1" applyFont="1" applyFill="1" applyBorder="1" applyAlignment="1">
      <alignment horizontal="left" vertical="center" wrapText="1"/>
    </xf>
    <xf numFmtId="3" fontId="35" fillId="0" borderId="74" xfId="0" applyNumberFormat="1" applyFont="1" applyBorder="1" applyAlignment="1">
      <alignment horizontal="left" vertical="center" wrapText="1"/>
    </xf>
    <xf numFmtId="3" fontId="35" fillId="0" borderId="111" xfId="0" applyNumberFormat="1" applyFont="1" applyBorder="1" applyAlignment="1">
      <alignment horizontal="left" vertical="center" wrapText="1"/>
    </xf>
    <xf numFmtId="3" fontId="41" fillId="0" borderId="112" xfId="47" applyNumberFormat="1" applyFont="1" applyBorder="1" applyAlignment="1">
      <alignment horizontal="right" vertical="center"/>
    </xf>
    <xf numFmtId="165" fontId="41" fillId="0" borderId="11" xfId="0" applyNumberFormat="1" applyFont="1" applyBorder="1" applyAlignment="1">
      <alignment wrapText="1"/>
    </xf>
    <xf numFmtId="0" fontId="1" fillId="0" borderId="11" xfId="0" applyFont="1" applyBorder="1" applyAlignment="1">
      <alignment horizontal="center" vertical="center"/>
    </xf>
    <xf numFmtId="0" fontId="63" fillId="0" borderId="0" xfId="0" applyFont="1" applyAlignment="1">
      <alignment horizontal="center" vertical="center"/>
    </xf>
    <xf numFmtId="0" fontId="41" fillId="0" borderId="72" xfId="0" applyFont="1" applyFill="1" applyBorder="1" applyAlignment="1">
      <alignment horizontal="left" vertical="center"/>
    </xf>
    <xf numFmtId="0" fontId="63" fillId="46" borderId="11" xfId="0" applyFont="1" applyFill="1" applyBorder="1" applyAlignment="1">
      <alignment horizontal="center" vertical="center"/>
    </xf>
    <xf numFmtId="49" fontId="63" fillId="46" borderId="11" xfId="0" applyNumberFormat="1" applyFont="1" applyFill="1" applyBorder="1"/>
    <xf numFmtId="49" fontId="50" fillId="46" borderId="11" xfId="0" applyNumberFormat="1" applyFont="1" applyFill="1" applyBorder="1"/>
    <xf numFmtId="4" fontId="41" fillId="0" borderId="0" xfId="0" applyNumberFormat="1" applyFont="1"/>
    <xf numFmtId="0" fontId="41" fillId="0" borderId="0" xfId="0" applyFont="1" applyAlignment="1">
      <alignment horizontal="center"/>
    </xf>
    <xf numFmtId="0" fontId="69" fillId="0" borderId="11" xfId="0" applyFont="1" applyBorder="1" applyAlignment="1">
      <alignment horizontal="center"/>
    </xf>
    <xf numFmtId="0" fontId="1" fillId="47" borderId="11" xfId="0" applyFont="1" applyFill="1" applyBorder="1" applyAlignment="1">
      <alignment horizontal="center" vertical="center"/>
    </xf>
    <xf numFmtId="49" fontId="50" fillId="47" borderId="11" xfId="0" applyNumberFormat="1" applyFont="1" applyFill="1" applyBorder="1" applyAlignment="1">
      <alignment wrapText="1"/>
    </xf>
    <xf numFmtId="49" fontId="50" fillId="47" borderId="11" xfId="0" applyNumberFormat="1" applyFont="1" applyFill="1" applyBorder="1"/>
    <xf numFmtId="4" fontId="41" fillId="0" borderId="11" xfId="0" applyNumberFormat="1" applyFont="1" applyBorder="1" applyAlignment="1">
      <alignment horizontal="center"/>
    </xf>
    <xf numFmtId="165" fontId="41" fillId="0" borderId="11" xfId="0" applyNumberFormat="1" applyFont="1" applyBorder="1" applyAlignment="1">
      <alignment horizontal="center"/>
    </xf>
    <xf numFmtId="0" fontId="42" fillId="0" borderId="0" xfId="0" applyFont="1" applyFill="1" applyBorder="1" applyAlignment="1">
      <alignment horizontal="center" vertical="center" wrapText="1"/>
    </xf>
    <xf numFmtId="3" fontId="41" fillId="0" borderId="52" xfId="47" applyNumberFormat="1" applyFont="1" applyFill="1" applyBorder="1" applyAlignment="1">
      <alignment horizontal="right" vertical="center"/>
    </xf>
    <xf numFmtId="0" fontId="50" fillId="0" borderId="11" xfId="0" applyFont="1" applyBorder="1" applyAlignment="1">
      <alignment horizontal="center" vertical="center"/>
    </xf>
    <xf numFmtId="0" fontId="51" fillId="0" borderId="11" xfId="0" applyFont="1" applyBorder="1" applyAlignment="1">
      <alignment horizontal="center" vertical="center"/>
    </xf>
    <xf numFmtId="0" fontId="51" fillId="47" borderId="11" xfId="0" applyFont="1" applyFill="1" applyBorder="1" applyAlignment="1">
      <alignment horizontal="center" vertical="center"/>
    </xf>
    <xf numFmtId="0" fontId="41" fillId="46" borderId="11" xfId="0" applyFont="1" applyFill="1" applyBorder="1" applyAlignment="1">
      <alignment horizontal="center" vertical="center"/>
    </xf>
    <xf numFmtId="0" fontId="41" fillId="0" borderId="11" xfId="0" applyFont="1" applyBorder="1" applyAlignment="1">
      <alignment horizontal="center" vertical="center"/>
    </xf>
    <xf numFmtId="0" fontId="41" fillId="47" borderId="11" xfId="0" applyFont="1" applyFill="1" applyBorder="1" applyAlignment="1">
      <alignment horizontal="center" vertical="center"/>
    </xf>
    <xf numFmtId="0" fontId="63" fillId="47" borderId="11" xfId="0" applyFont="1" applyFill="1" applyBorder="1" applyAlignment="1">
      <alignment horizontal="center" vertical="center"/>
    </xf>
    <xf numFmtId="49" fontId="1" fillId="47" borderId="11" xfId="0" applyNumberFormat="1" applyFont="1" applyFill="1" applyBorder="1" applyAlignment="1">
      <alignment wrapText="1"/>
    </xf>
    <xf numFmtId="49" fontId="1" fillId="47" borderId="11" xfId="0" applyNumberFormat="1" applyFont="1" applyFill="1" applyBorder="1"/>
    <xf numFmtId="4" fontId="41" fillId="0" borderId="11" xfId="0" applyNumberFormat="1" applyFont="1" applyFill="1" applyBorder="1" applyAlignment="1">
      <alignment horizontal="center"/>
    </xf>
    <xf numFmtId="165" fontId="36" fillId="46" borderId="11" xfId="0" applyNumberFormat="1" applyFont="1" applyFill="1" applyBorder="1" applyAlignment="1">
      <alignment horizontal="right" wrapText="1"/>
    </xf>
    <xf numFmtId="4" fontId="42" fillId="46" borderId="11" xfId="0" applyNumberFormat="1" applyFont="1" applyFill="1" applyBorder="1" applyAlignment="1">
      <alignment horizontal="center"/>
    </xf>
    <xf numFmtId="4" fontId="36" fillId="47" borderId="11" xfId="0" applyNumberFormat="1" applyFont="1" applyFill="1" applyBorder="1"/>
    <xf numFmtId="165" fontId="36" fillId="47" borderId="11" xfId="0" applyNumberFormat="1" applyFont="1" applyFill="1" applyBorder="1" applyAlignment="1">
      <alignment horizontal="right" wrapText="1"/>
    </xf>
    <xf numFmtId="4" fontId="42" fillId="47"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36"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36" fillId="0" borderId="11" xfId="0" applyNumberFormat="1" applyFont="1" applyBorder="1" applyAlignment="1">
      <alignment horizontal="center" wrapText="1"/>
    </xf>
    <xf numFmtId="165" fontId="42" fillId="47" borderId="11" xfId="0" applyNumberFormat="1" applyFont="1" applyFill="1" applyBorder="1" applyAlignment="1">
      <alignment horizontal="center"/>
    </xf>
    <xf numFmtId="4" fontId="23" fillId="0" borderId="11" xfId="0" applyNumberFormat="1" applyFont="1" applyBorder="1"/>
    <xf numFmtId="4" fontId="42" fillId="46" borderId="11" xfId="0" applyNumberFormat="1" applyFont="1" applyFill="1" applyBorder="1"/>
    <xf numFmtId="165" fontId="42" fillId="46" borderId="11" xfId="0" applyNumberFormat="1" applyFont="1" applyFill="1" applyBorder="1" applyAlignment="1">
      <alignment wrapText="1"/>
    </xf>
    <xf numFmtId="4" fontId="36" fillId="47" borderId="11" xfId="0" applyNumberFormat="1" applyFont="1" applyFill="1" applyBorder="1" applyAlignment="1">
      <alignment wrapText="1"/>
    </xf>
    <xf numFmtId="165" fontId="42" fillId="47" borderId="11" xfId="0" applyNumberFormat="1" applyFont="1" applyFill="1" applyBorder="1" applyAlignment="1">
      <alignment wrapText="1"/>
    </xf>
    <xf numFmtId="0" fontId="42" fillId="0" borderId="49" xfId="0" applyFont="1" applyFill="1" applyBorder="1" applyAlignment="1">
      <alignment horizontal="center" vertical="center"/>
    </xf>
    <xf numFmtId="3" fontId="41" fillId="0" borderId="49" xfId="47" applyNumberFormat="1" applyFont="1" applyFill="1" applyBorder="1" applyAlignment="1">
      <alignment horizontal="right" vertical="center"/>
    </xf>
    <xf numFmtId="49" fontId="41" fillId="0" borderId="0" xfId="0" applyNumberFormat="1" applyFont="1" applyFill="1" applyBorder="1"/>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1" fillId="0" borderId="43" xfId="0" applyFont="1" applyBorder="1" applyAlignment="1">
      <alignment horizontal="center" vertical="center"/>
    </xf>
    <xf numFmtId="0" fontId="21" fillId="0" borderId="113" xfId="0" applyFont="1" applyFill="1" applyBorder="1" applyAlignment="1">
      <alignment horizontal="center" vertical="center" wrapText="1"/>
    </xf>
    <xf numFmtId="0" fontId="21" fillId="0" borderId="113" xfId="0" applyFont="1" applyBorder="1" applyAlignment="1">
      <alignment horizontal="center" vertical="center" wrapText="1"/>
    </xf>
    <xf numFmtId="3" fontId="21" fillId="0" borderId="113" xfId="0" applyNumberFormat="1" applyFont="1" applyFill="1" applyBorder="1" applyAlignment="1">
      <alignment horizontal="left" vertical="center" wrapText="1"/>
    </xf>
    <xf numFmtId="3" fontId="35" fillId="0" borderId="113" xfId="0" applyNumberFormat="1" applyFont="1" applyBorder="1" applyAlignment="1">
      <alignment horizontal="left" vertical="center" wrapText="1"/>
    </xf>
    <xf numFmtId="3" fontId="35" fillId="0" borderId="113" xfId="0" applyNumberFormat="1" applyFont="1" applyFill="1" applyBorder="1" applyAlignment="1">
      <alignment horizontal="left" vertical="center" wrapText="1"/>
    </xf>
    <xf numFmtId="3" fontId="21" fillId="0" borderId="50" xfId="0" applyNumberFormat="1" applyFont="1" applyFill="1" applyBorder="1" applyAlignment="1">
      <alignment horizontal="left" vertical="center" wrapText="1"/>
    </xf>
    <xf numFmtId="0" fontId="42" fillId="29" borderId="41" xfId="0" applyFont="1" applyFill="1" applyBorder="1" applyAlignment="1">
      <alignment horizontal="center" vertical="center"/>
    </xf>
    <xf numFmtId="49" fontId="41" fillId="29" borderId="33" xfId="0" applyNumberFormat="1" applyFont="1" applyFill="1" applyBorder="1" applyAlignment="1">
      <alignment horizontal="left" vertical="center"/>
    </xf>
    <xf numFmtId="0" fontId="41" fillId="29" borderId="33" xfId="0" applyFont="1" applyFill="1" applyBorder="1" applyAlignment="1">
      <alignment horizontal="center" vertical="center"/>
    </xf>
    <xf numFmtId="3" fontId="22" fillId="29" borderId="33" xfId="49" applyNumberFormat="1" applyFont="1" applyFill="1" applyBorder="1" applyAlignment="1">
      <alignment horizontal="left" vertical="center" wrapText="1"/>
    </xf>
    <xf numFmtId="3" fontId="41" fillId="29" borderId="33" xfId="47" applyNumberFormat="1" applyFont="1" applyFill="1" applyBorder="1" applyAlignment="1">
      <alignment horizontal="right" vertical="center"/>
    </xf>
    <xf numFmtId="4" fontId="23" fillId="0" borderId="0" xfId="0" applyNumberFormat="1" applyFont="1" applyFill="1" applyBorder="1"/>
    <xf numFmtId="0" fontId="41" fillId="0" borderId="74" xfId="0" applyFont="1" applyBorder="1" applyAlignment="1">
      <alignment horizontal="center" vertical="center"/>
    </xf>
    <xf numFmtId="3" fontId="41" fillId="0" borderId="74" xfId="47" applyNumberFormat="1" applyFont="1" applyFill="1" applyBorder="1" applyAlignment="1">
      <alignment horizontal="right" vertical="center"/>
    </xf>
    <xf numFmtId="3" fontId="21" fillId="0" borderId="83" xfId="49" applyNumberFormat="1" applyFont="1" applyFill="1" applyBorder="1" applyAlignment="1">
      <alignment horizontal="left" vertical="center" wrapText="1"/>
    </xf>
    <xf numFmtId="3" fontId="21" fillId="0" borderId="113" xfId="49" applyNumberFormat="1" applyFont="1" applyFill="1" applyBorder="1" applyAlignment="1">
      <alignment horizontal="left" vertical="center" wrapText="1"/>
    </xf>
    <xf numFmtId="3" fontId="41" fillId="0" borderId="113" xfId="47" applyNumberFormat="1" applyFont="1" applyFill="1" applyBorder="1" applyAlignment="1">
      <alignment horizontal="right" vertical="center"/>
    </xf>
    <xf numFmtId="0" fontId="41" fillId="0" borderId="113" xfId="0" applyFont="1" applyFill="1" applyBorder="1" applyAlignment="1">
      <alignment horizontal="center" vertical="center"/>
    </xf>
    <xf numFmtId="3" fontId="23" fillId="0" borderId="113" xfId="49" applyNumberFormat="1" applyFont="1" applyFill="1" applyBorder="1" applyAlignment="1">
      <alignment horizontal="left" vertical="center" wrapText="1"/>
    </xf>
    <xf numFmtId="3" fontId="23" fillId="0" borderId="114" xfId="49" applyNumberFormat="1" applyFont="1" applyFill="1" applyBorder="1" applyAlignment="1">
      <alignment horizontal="left" vertical="center" wrapText="1"/>
    </xf>
    <xf numFmtId="0" fontId="42" fillId="0" borderId="43" xfId="0" applyFont="1" applyFill="1" applyBorder="1" applyAlignment="1">
      <alignment horizontal="center" vertical="center"/>
    </xf>
    <xf numFmtId="0" fontId="41" fillId="0" borderId="116" xfId="0" applyFont="1" applyFill="1" applyBorder="1" applyAlignment="1">
      <alignment horizontal="center" vertical="center"/>
    </xf>
    <xf numFmtId="3" fontId="41" fillId="0" borderId="117" xfId="47" applyNumberFormat="1" applyFont="1" applyFill="1" applyBorder="1" applyAlignment="1">
      <alignment horizontal="right" vertical="center"/>
    </xf>
    <xf numFmtId="3" fontId="41" fillId="0" borderId="20" xfId="47" applyNumberFormat="1" applyFont="1" applyFill="1" applyBorder="1" applyAlignment="1">
      <alignment horizontal="right" vertical="center"/>
    </xf>
    <xf numFmtId="0" fontId="41" fillId="0" borderId="0" xfId="0" applyFont="1" applyFill="1" applyBorder="1" applyAlignment="1">
      <alignment horizontal="left" vertical="center"/>
    </xf>
    <xf numFmtId="0" fontId="41" fillId="0" borderId="74" xfId="0" applyFont="1" applyBorder="1" applyAlignment="1">
      <alignment horizontal="left" vertical="center"/>
    </xf>
    <xf numFmtId="0" fontId="42" fillId="0" borderId="49" xfId="0" applyFont="1" applyBorder="1" applyAlignment="1">
      <alignment vertical="center" wrapText="1"/>
    </xf>
    <xf numFmtId="0" fontId="42" fillId="0" borderId="52" xfId="0" applyFont="1" applyBorder="1" applyAlignment="1">
      <alignment vertical="center" wrapText="1"/>
    </xf>
    <xf numFmtId="0" fontId="53" fillId="0" borderId="50" xfId="0" applyFont="1" applyBorder="1" applyAlignment="1">
      <alignment vertical="center" wrapText="1"/>
    </xf>
    <xf numFmtId="0" fontId="42" fillId="0" borderId="0" xfId="0" applyFont="1" applyFill="1" applyBorder="1" applyAlignment="1">
      <alignment horizontal="left" vertical="center" wrapText="1"/>
    </xf>
    <xf numFmtId="0" fontId="42" fillId="0" borderId="41" xfId="0" applyFont="1" applyBorder="1" applyAlignment="1">
      <alignment vertical="center" wrapText="1"/>
    </xf>
    <xf numFmtId="3" fontId="42" fillId="0" borderId="41" xfId="47" applyNumberFormat="1" applyFont="1" applyBorder="1" applyAlignment="1">
      <alignment horizontal="right" vertical="center"/>
    </xf>
    <xf numFmtId="4" fontId="36" fillId="0" borderId="0" xfId="0" applyNumberFormat="1" applyFont="1" applyFill="1" applyBorder="1"/>
    <xf numFmtId="0" fontId="41" fillId="0" borderId="43" xfId="0" applyFont="1" applyBorder="1" applyAlignment="1">
      <alignment horizontal="center" vertical="center"/>
    </xf>
    <xf numFmtId="17" fontId="41" fillId="0" borderId="0" xfId="0" applyNumberFormat="1" applyFont="1" applyFill="1" applyBorder="1"/>
    <xf numFmtId="0" fontId="41" fillId="0" borderId="43" xfId="0" applyFont="1" applyBorder="1" applyAlignment="1">
      <alignment horizontal="center" vertical="center"/>
    </xf>
    <xf numFmtId="49" fontId="41" fillId="0" borderId="44" xfId="0" applyNumberFormat="1" applyFont="1" applyBorder="1" applyAlignment="1">
      <alignment horizontal="center" vertical="center"/>
    </xf>
    <xf numFmtId="0" fontId="41" fillId="30" borderId="43" xfId="0" applyFont="1" applyFill="1" applyBorder="1" applyAlignment="1">
      <alignment horizontal="center" vertical="center"/>
    </xf>
    <xf numFmtId="0" fontId="41" fillId="30" borderId="0" xfId="0" applyFont="1" applyFill="1" applyBorder="1" applyAlignment="1">
      <alignment horizontal="center" vertical="center"/>
    </xf>
    <xf numFmtId="49" fontId="42" fillId="30" borderId="0" xfId="0" applyNumberFormat="1" applyFont="1" applyFill="1" applyBorder="1" applyAlignment="1">
      <alignment horizontal="left" vertical="center"/>
    </xf>
    <xf numFmtId="0" fontId="42" fillId="30" borderId="0" xfId="0" applyFont="1" applyFill="1" applyBorder="1" applyAlignment="1">
      <alignment horizontal="center" vertical="center"/>
    </xf>
    <xf numFmtId="0" fontId="42" fillId="30" borderId="51" xfId="0" applyFont="1" applyFill="1" applyBorder="1" applyAlignment="1">
      <alignment horizontal="left" vertical="center" wrapText="1"/>
    </xf>
    <xf numFmtId="0" fontId="42" fillId="30" borderId="20" xfId="0" applyFont="1" applyFill="1" applyBorder="1" applyAlignment="1">
      <alignment horizontal="left" vertical="center" wrapText="1"/>
    </xf>
    <xf numFmtId="3" fontId="42" fillId="30" borderId="20" xfId="47" applyNumberFormat="1" applyFont="1" applyFill="1" applyBorder="1" applyAlignment="1">
      <alignment horizontal="right" vertical="center"/>
    </xf>
    <xf numFmtId="0" fontId="41" fillId="30" borderId="0" xfId="0" applyFont="1" applyFill="1" applyBorder="1"/>
    <xf numFmtId="4" fontId="23" fillId="30" borderId="0" xfId="0" applyNumberFormat="1" applyFont="1" applyFill="1" applyBorder="1"/>
    <xf numFmtId="49" fontId="59" fillId="0" borderId="0" xfId="0" applyNumberFormat="1" applyFont="1" applyBorder="1" applyAlignment="1">
      <alignment horizontal="center" vertical="center"/>
    </xf>
    <xf numFmtId="0" fontId="53" fillId="0" borderId="44" xfId="0" applyFont="1" applyFill="1" applyBorder="1" applyAlignment="1">
      <alignment vertical="center" wrapText="1"/>
    </xf>
    <xf numFmtId="0" fontId="41" fillId="0" borderId="120" xfId="0" applyFont="1" applyFill="1" applyBorder="1" applyAlignment="1">
      <alignment horizontal="center" vertical="center"/>
    </xf>
    <xf numFmtId="0" fontId="41" fillId="0" borderId="122" xfId="0" applyFont="1" applyFill="1" applyBorder="1" applyAlignment="1">
      <alignment horizontal="center" vertical="center"/>
    </xf>
    <xf numFmtId="0" fontId="41" fillId="0" borderId="60" xfId="0" applyFont="1" applyFill="1" applyBorder="1" applyAlignment="1">
      <alignment vertical="center" wrapText="1"/>
    </xf>
    <xf numFmtId="0" fontId="41" fillId="0" borderId="121" xfId="0" applyFont="1" applyFill="1" applyBorder="1" applyAlignment="1">
      <alignment vertical="center" wrapText="1"/>
    </xf>
    <xf numFmtId="0" fontId="41" fillId="0" borderId="123" xfId="0" applyFont="1" applyFill="1" applyBorder="1" applyAlignment="1">
      <alignment vertical="center" wrapText="1"/>
    </xf>
    <xf numFmtId="3" fontId="59" fillId="0" borderId="124" xfId="47" applyNumberFormat="1" applyFont="1" applyFill="1" applyBorder="1" applyAlignment="1">
      <alignment horizontal="right" vertical="center"/>
    </xf>
    <xf numFmtId="0" fontId="41" fillId="0" borderId="70" xfId="0" applyFont="1" applyFill="1" applyBorder="1" applyAlignment="1">
      <alignment vertical="center" wrapText="1"/>
    </xf>
    <xf numFmtId="0" fontId="59" fillId="0" borderId="60" xfId="0" applyFont="1" applyFill="1" applyBorder="1" applyAlignment="1">
      <alignment horizontal="center" vertical="center"/>
    </xf>
    <xf numFmtId="0" fontId="59" fillId="0" borderId="66" xfId="0" applyFont="1" applyFill="1" applyBorder="1" applyAlignment="1">
      <alignment vertical="center" wrapText="1"/>
    </xf>
    <xf numFmtId="3" fontId="54" fillId="0" borderId="43" xfId="49" applyNumberFormat="1" applyFont="1" applyFill="1" applyBorder="1" applyAlignment="1">
      <alignment horizontal="left" vertical="center" wrapText="1"/>
    </xf>
    <xf numFmtId="3" fontId="41" fillId="42" borderId="11" xfId="0" applyNumberFormat="1" applyFont="1" applyFill="1" applyBorder="1" applyAlignment="1">
      <alignment horizontal="right" vertical="center"/>
    </xf>
    <xf numFmtId="165" fontId="41" fillId="0" borderId="11" xfId="0" applyNumberFormat="1" applyFont="1" applyBorder="1" applyAlignment="1">
      <alignment horizontal="right" vertical="center"/>
    </xf>
    <xf numFmtId="3" fontId="41" fillId="45" borderId="11" xfId="0" applyNumberFormat="1" applyFont="1" applyFill="1" applyBorder="1" applyAlignment="1">
      <alignment horizontal="right" vertical="center"/>
    </xf>
    <xf numFmtId="3" fontId="63" fillId="0" borderId="0" xfId="0" applyNumberFormat="1" applyFont="1" applyAlignment="1">
      <alignment horizontal="right" vertical="center"/>
    </xf>
    <xf numFmtId="165" fontId="41" fillId="0" borderId="11" xfId="0" applyNumberFormat="1" applyFont="1" applyBorder="1" applyAlignment="1"/>
    <xf numFmtId="165" fontId="41" fillId="45" borderId="11" xfId="0" applyNumberFormat="1" applyFont="1" applyFill="1" applyBorder="1" applyAlignment="1"/>
    <xf numFmtId="49" fontId="70" fillId="48" borderId="11" xfId="0" applyNumberFormat="1" applyFont="1" applyFill="1" applyBorder="1" applyAlignment="1">
      <alignment horizontal="center"/>
    </xf>
    <xf numFmtId="0" fontId="70" fillId="48" borderId="11" xfId="0" applyFont="1" applyFill="1" applyBorder="1" applyAlignment="1">
      <alignment horizontal="left" wrapText="1"/>
    </xf>
    <xf numFmtId="3" fontId="41" fillId="0" borderId="35" xfId="47" applyNumberFormat="1" applyFont="1" applyFill="1" applyBorder="1" applyAlignment="1">
      <alignment horizontal="right" vertical="center"/>
    </xf>
    <xf numFmtId="4" fontId="0" fillId="0" borderId="0" xfId="0" applyNumberFormat="1"/>
    <xf numFmtId="0" fontId="51" fillId="46" borderId="58" xfId="0" applyFont="1" applyFill="1" applyBorder="1" applyAlignment="1">
      <alignment horizontal="center"/>
    </xf>
    <xf numFmtId="0" fontId="51" fillId="46" borderId="59" xfId="0" applyFont="1" applyFill="1" applyBorder="1" applyAlignment="1">
      <alignment horizontal="center"/>
    </xf>
    <xf numFmtId="0" fontId="41" fillId="45" borderId="0" xfId="0" applyFont="1" applyFill="1"/>
    <xf numFmtId="165" fontId="42" fillId="46" borderId="11" xfId="0" applyNumberFormat="1" applyFont="1" applyFill="1" applyBorder="1" applyAlignment="1">
      <alignment horizontal="right" wrapText="1"/>
    </xf>
    <xf numFmtId="165" fontId="42" fillId="47" borderId="11" xfId="0" applyNumberFormat="1" applyFont="1" applyFill="1" applyBorder="1" applyAlignment="1">
      <alignment horizontal="right" wrapText="1"/>
    </xf>
    <xf numFmtId="165" fontId="41" fillId="0" borderId="11" xfId="0" applyNumberFormat="1" applyFont="1" applyBorder="1" applyAlignment="1">
      <alignment horizontal="right" wrapText="1"/>
    </xf>
    <xf numFmtId="4" fontId="42" fillId="47" borderId="11" xfId="0" applyNumberFormat="1" applyFont="1" applyFill="1" applyBorder="1" applyAlignment="1">
      <alignment horizontal="right"/>
    </xf>
    <xf numFmtId="0" fontId="41" fillId="0" borderId="11" xfId="0" applyFont="1" applyBorder="1" applyAlignment="1">
      <alignment horizontal="right"/>
    </xf>
    <xf numFmtId="4" fontId="41" fillId="0" borderId="11" xfId="0" applyNumberFormat="1" applyFont="1" applyBorder="1" applyAlignment="1">
      <alignment horizontal="right"/>
    </xf>
    <xf numFmtId="165" fontId="42" fillId="47" borderId="11" xfId="0" applyNumberFormat="1" applyFont="1" applyFill="1" applyBorder="1" applyAlignment="1">
      <alignment horizontal="right"/>
    </xf>
    <xf numFmtId="165" fontId="41" fillId="0" borderId="11" xfId="0" applyNumberFormat="1" applyFont="1" applyBorder="1" applyAlignment="1">
      <alignment horizontal="right"/>
    </xf>
    <xf numFmtId="165" fontId="56" fillId="47" borderId="11" xfId="0" applyNumberFormat="1" applyFont="1" applyFill="1" applyBorder="1" applyAlignment="1">
      <alignment horizont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41" fillId="0" borderId="41" xfId="0" applyFont="1" applyBorder="1" applyAlignment="1">
      <alignment horizontal="left" vertical="center"/>
    </xf>
    <xf numFmtId="168" fontId="37" fillId="6" borderId="19" xfId="0" applyNumberFormat="1" applyFont="1" applyFill="1" applyBorder="1" applyAlignment="1">
      <alignment horizontal="center" vertical="center" wrapText="1" shrinkToFit="1"/>
    </xf>
    <xf numFmtId="4" fontId="42" fillId="0" borderId="40" xfId="47" applyNumberFormat="1" applyFont="1" applyFill="1" applyBorder="1" applyAlignment="1">
      <alignment horizontal="right" vertical="center"/>
    </xf>
    <xf numFmtId="3" fontId="41" fillId="0" borderId="69" xfId="47" applyNumberFormat="1" applyFont="1" applyFill="1" applyBorder="1" applyAlignment="1">
      <alignment horizontal="right" vertical="center"/>
    </xf>
    <xf numFmtId="4" fontId="36" fillId="38" borderId="55" xfId="47" applyNumberFormat="1" applyFont="1" applyFill="1" applyBorder="1" applyAlignment="1">
      <alignment horizontal="center" vertical="center" wrapText="1"/>
    </xf>
    <xf numFmtId="4" fontId="41" fillId="29" borderId="20" xfId="47" applyNumberFormat="1" applyFont="1" applyFill="1" applyBorder="1" applyAlignment="1">
      <alignment vertical="center"/>
    </xf>
    <xf numFmtId="4" fontId="41" fillId="0" borderId="0" xfId="47" applyNumberFormat="1" applyFont="1" applyAlignment="1">
      <alignment vertical="center"/>
    </xf>
    <xf numFmtId="4" fontId="41" fillId="0" borderId="81" xfId="47" applyNumberFormat="1" applyFont="1" applyFill="1" applyBorder="1" applyAlignment="1">
      <alignment vertical="center"/>
    </xf>
    <xf numFmtId="4" fontId="41" fillId="0" borderId="82" xfId="47" applyNumberFormat="1" applyFont="1" applyBorder="1" applyAlignment="1">
      <alignment vertical="center"/>
    </xf>
    <xf numFmtId="4" fontId="42" fillId="40" borderId="45" xfId="47" applyNumberFormat="1" applyFont="1" applyFill="1" applyBorder="1" applyAlignment="1">
      <alignment vertical="center"/>
    </xf>
    <xf numFmtId="4" fontId="42" fillId="43" borderId="45" xfId="47" applyNumberFormat="1" applyFont="1" applyFill="1" applyBorder="1" applyAlignment="1">
      <alignment vertical="center"/>
    </xf>
    <xf numFmtId="4" fontId="41" fillId="0" borderId="66" xfId="47" applyNumberFormat="1" applyFont="1" applyFill="1" applyBorder="1" applyAlignment="1">
      <alignment vertical="center"/>
    </xf>
    <xf numFmtId="4" fontId="41" fillId="0" borderId="93" xfId="47" applyNumberFormat="1" applyFont="1" applyFill="1" applyBorder="1" applyAlignment="1">
      <alignment vertical="center"/>
    </xf>
    <xf numFmtId="4" fontId="41" fillId="0" borderId="93" xfId="47" applyNumberFormat="1" applyFont="1" applyBorder="1" applyAlignment="1">
      <alignment vertical="center"/>
    </xf>
    <xf numFmtId="4" fontId="41" fillId="0" borderId="75" xfId="47" applyNumberFormat="1" applyFont="1" applyFill="1" applyBorder="1" applyAlignment="1">
      <alignment vertical="center"/>
    </xf>
    <xf numFmtId="4" fontId="42" fillId="37" borderId="40" xfId="47" applyNumberFormat="1" applyFont="1" applyFill="1" applyBorder="1" applyAlignment="1">
      <alignment horizontal="right" vertical="center"/>
    </xf>
    <xf numFmtId="4" fontId="41" fillId="0" borderId="70" xfId="47" applyNumberFormat="1" applyFont="1" applyFill="1" applyBorder="1" applyAlignment="1">
      <alignment vertical="center"/>
    </xf>
    <xf numFmtId="4" fontId="41" fillId="29" borderId="33" xfId="47" applyNumberFormat="1" applyFont="1" applyFill="1" applyBorder="1" applyAlignment="1">
      <alignment vertical="center"/>
    </xf>
    <xf numFmtId="4" fontId="41" fillId="0" borderId="33" xfId="47" applyNumberFormat="1" applyFont="1" applyBorder="1" applyAlignment="1">
      <alignment vertical="center"/>
    </xf>
    <xf numFmtId="4" fontId="41" fillId="0" borderId="47" xfId="47" applyNumberFormat="1" applyFont="1" applyBorder="1" applyAlignment="1">
      <alignment vertical="center"/>
    </xf>
    <xf numFmtId="4" fontId="41" fillId="0" borderId="74" xfId="47" applyNumberFormat="1" applyFont="1" applyBorder="1" applyAlignment="1">
      <alignment vertical="center"/>
    </xf>
    <xf numFmtId="4" fontId="41" fillId="0" borderId="113" xfId="47" applyNumberFormat="1" applyFont="1" applyBorder="1" applyAlignment="1">
      <alignment vertical="center"/>
    </xf>
    <xf numFmtId="4" fontId="41" fillId="0" borderId="113" xfId="47" applyNumberFormat="1" applyFont="1" applyFill="1" applyBorder="1" applyAlignment="1">
      <alignment vertical="center"/>
    </xf>
    <xf numFmtId="4" fontId="41" fillId="0" borderId="20" xfId="47" applyNumberFormat="1" applyFont="1" applyFill="1" applyBorder="1" applyAlignment="1">
      <alignment vertical="center"/>
    </xf>
    <xf numFmtId="4" fontId="42" fillId="40" borderId="20" xfId="47" applyNumberFormat="1" applyFont="1" applyFill="1" applyBorder="1" applyAlignment="1">
      <alignment vertical="center"/>
    </xf>
    <xf numFmtId="4" fontId="42" fillId="30" borderId="20" xfId="47" applyNumberFormat="1" applyFont="1" applyFill="1" applyBorder="1" applyAlignment="1">
      <alignment vertical="center"/>
    </xf>
    <xf numFmtId="4" fontId="59" fillId="0" borderId="60" xfId="47" applyNumberFormat="1" applyFont="1" applyFill="1" applyBorder="1" applyAlignment="1">
      <alignment horizontal="right" vertical="center"/>
    </xf>
    <xf numFmtId="4" fontId="59" fillId="0" borderId="121" xfId="47" applyNumberFormat="1" applyFont="1" applyFill="1" applyBorder="1" applyAlignment="1">
      <alignment horizontal="right" vertical="center"/>
    </xf>
    <xf numFmtId="4" fontId="59" fillId="0" borderId="70" xfId="47" applyNumberFormat="1" applyFont="1" applyFill="1" applyBorder="1" applyAlignment="1">
      <alignment horizontal="right" vertical="center"/>
    </xf>
    <xf numFmtId="4" fontId="59" fillId="0" borderId="123" xfId="47" applyNumberFormat="1" applyFont="1" applyFill="1" applyBorder="1" applyAlignment="1">
      <alignment horizontal="right" vertical="center"/>
    </xf>
    <xf numFmtId="4" fontId="42" fillId="0" borderId="20" xfId="47" applyNumberFormat="1" applyFont="1" applyFill="1" applyBorder="1" applyAlignment="1">
      <alignment vertical="center"/>
    </xf>
    <xf numFmtId="4" fontId="41" fillId="0" borderId="114" xfId="47" applyNumberFormat="1" applyFont="1" applyFill="1" applyBorder="1" applyAlignment="1">
      <alignment vertical="center"/>
    </xf>
    <xf numFmtId="4" fontId="42" fillId="38" borderId="40" xfId="47" applyNumberFormat="1" applyFont="1" applyFill="1" applyBorder="1" applyAlignment="1">
      <alignment horizontal="right" vertical="center"/>
    </xf>
    <xf numFmtId="4" fontId="41" fillId="0" borderId="0" xfId="47" applyNumberFormat="1" applyFont="1" applyFill="1" applyBorder="1" applyAlignment="1">
      <alignment vertical="center"/>
    </xf>
    <xf numFmtId="4" fontId="41" fillId="0" borderId="49" xfId="47" applyNumberFormat="1" applyFont="1" applyBorder="1" applyAlignment="1">
      <alignment vertical="center"/>
    </xf>
    <xf numFmtId="4" fontId="41" fillId="0" borderId="100" xfId="47" applyNumberFormat="1" applyFont="1" applyFill="1" applyBorder="1" applyAlignment="1">
      <alignment vertical="center"/>
    </xf>
    <xf numFmtId="4" fontId="42" fillId="40" borderId="50" xfId="47" applyNumberFormat="1" applyFont="1" applyFill="1" applyBorder="1" applyAlignment="1">
      <alignment vertical="center"/>
    </xf>
    <xf numFmtId="4" fontId="41" fillId="0" borderId="42" xfId="47" applyNumberFormat="1" applyFont="1" applyBorder="1" applyAlignment="1">
      <alignment vertical="center"/>
    </xf>
    <xf numFmtId="4" fontId="41" fillId="0" borderId="44" xfId="47" applyNumberFormat="1" applyFont="1" applyBorder="1" applyAlignment="1">
      <alignment vertical="center"/>
    </xf>
    <xf numFmtId="4" fontId="41" fillId="0" borderId="50" xfId="47" applyNumberFormat="1" applyFont="1" applyFill="1" applyBorder="1" applyAlignment="1">
      <alignment vertical="center"/>
    </xf>
    <xf numFmtId="4" fontId="41" fillId="0" borderId="48" xfId="47" applyNumberFormat="1" applyFont="1" applyBorder="1" applyAlignment="1">
      <alignment vertical="center"/>
    </xf>
    <xf numFmtId="4" fontId="41" fillId="0" borderId="84" xfId="47" applyNumberFormat="1" applyFont="1" applyBorder="1" applyAlignment="1">
      <alignment vertical="center"/>
    </xf>
    <xf numFmtId="4" fontId="42" fillId="35" borderId="40" xfId="47" applyNumberFormat="1" applyFont="1" applyFill="1" applyBorder="1" applyAlignment="1">
      <alignment horizontal="right" vertical="center"/>
    </xf>
    <xf numFmtId="4" fontId="41" fillId="0" borderId="50" xfId="47" applyNumberFormat="1" applyFont="1" applyBorder="1" applyAlignment="1">
      <alignment vertical="center"/>
    </xf>
    <xf numFmtId="4" fontId="59" fillId="0" borderId="12" xfId="47" applyNumberFormat="1" applyFont="1" applyBorder="1" applyAlignment="1">
      <alignment vertical="center"/>
    </xf>
    <xf numFmtId="4" fontId="42" fillId="35" borderId="50" xfId="47" applyNumberFormat="1" applyFont="1" applyFill="1" applyBorder="1" applyAlignment="1">
      <alignment horizontal="right" vertical="center"/>
    </xf>
    <xf numFmtId="4" fontId="41" fillId="0" borderId="80" xfId="47" applyNumberFormat="1" applyFont="1" applyBorder="1" applyAlignment="1">
      <alignment vertical="center"/>
    </xf>
    <xf numFmtId="4" fontId="41" fillId="0" borderId="80" xfId="47" applyNumberFormat="1" applyFont="1" applyFill="1" applyBorder="1" applyAlignment="1">
      <alignment vertical="center"/>
    </xf>
    <xf numFmtId="4" fontId="42" fillId="0" borderId="33" xfId="47" applyNumberFormat="1" applyFont="1" applyBorder="1" applyAlignment="1">
      <alignment vertical="center"/>
    </xf>
    <xf numFmtId="4" fontId="41" fillId="0" borderId="94" xfId="47" applyNumberFormat="1" applyFont="1" applyFill="1" applyBorder="1" applyAlignment="1">
      <alignment vertical="center"/>
    </xf>
    <xf numFmtId="4" fontId="42" fillId="40" borderId="47" xfId="47" applyNumberFormat="1" applyFont="1" applyFill="1" applyBorder="1" applyAlignment="1">
      <alignment vertical="center"/>
    </xf>
    <xf numFmtId="4" fontId="41" fillId="0" borderId="91" xfId="47" applyNumberFormat="1" applyFont="1" applyFill="1" applyBorder="1" applyAlignment="1">
      <alignment vertical="center"/>
    </xf>
    <xf numFmtId="4" fontId="41" fillId="0" borderId="89" xfId="47" applyNumberFormat="1" applyFont="1" applyFill="1" applyBorder="1" applyAlignment="1">
      <alignment vertical="center"/>
    </xf>
    <xf numFmtId="4" fontId="42" fillId="0" borderId="47" xfId="47" applyNumberFormat="1" applyFont="1" applyFill="1" applyBorder="1" applyAlignment="1">
      <alignment horizontal="right" vertical="center"/>
    </xf>
    <xf numFmtId="4" fontId="59" fillId="0" borderId="0" xfId="47" applyNumberFormat="1" applyFont="1" applyFill="1" applyBorder="1" applyAlignment="1">
      <alignment horizontal="right" vertical="center"/>
    </xf>
    <xf numFmtId="4" fontId="41" fillId="0" borderId="47" xfId="47" applyNumberFormat="1" applyFont="1" applyFill="1" applyBorder="1" applyAlignment="1">
      <alignment vertical="center"/>
    </xf>
    <xf numFmtId="4" fontId="41" fillId="0" borderId="33" xfId="47" applyNumberFormat="1" applyFont="1" applyFill="1" applyBorder="1" applyAlignment="1">
      <alignment vertical="center"/>
    </xf>
    <xf numFmtId="4" fontId="41" fillId="0" borderId="60" xfId="47" applyNumberFormat="1" applyFont="1" applyFill="1" applyBorder="1" applyAlignment="1">
      <alignment vertical="center"/>
    </xf>
    <xf numFmtId="4" fontId="42" fillId="35" borderId="51" xfId="47" applyNumberFormat="1" applyFont="1" applyFill="1" applyBorder="1" applyAlignment="1">
      <alignment horizontal="right" vertical="center"/>
    </xf>
    <xf numFmtId="4" fontId="41" fillId="0" borderId="40" xfId="47" applyNumberFormat="1" applyFont="1" applyFill="1" applyBorder="1" applyAlignment="1">
      <alignment vertical="center"/>
    </xf>
    <xf numFmtId="4" fontId="41" fillId="0" borderId="49" xfId="47" applyNumberFormat="1" applyFont="1" applyFill="1" applyBorder="1" applyAlignment="1">
      <alignment vertical="center"/>
    </xf>
    <xf numFmtId="4" fontId="42" fillId="0" borderId="49" xfId="47" applyNumberFormat="1" applyFont="1" applyFill="1" applyBorder="1" applyAlignment="1">
      <alignment horizontal="right" vertical="center"/>
    </xf>
    <xf numFmtId="4" fontId="42" fillId="0" borderId="50" xfId="47" applyNumberFormat="1" applyFont="1" applyFill="1" applyBorder="1" applyAlignment="1">
      <alignment horizontal="right" vertical="center"/>
    </xf>
    <xf numFmtId="4" fontId="42" fillId="40" borderId="40" xfId="47" applyNumberFormat="1" applyFont="1" applyFill="1" applyBorder="1" applyAlignment="1">
      <alignment vertical="center"/>
    </xf>
    <xf numFmtId="4" fontId="41" fillId="0" borderId="52" xfId="47" applyNumberFormat="1" applyFont="1" applyFill="1" applyBorder="1" applyAlignment="1">
      <alignment vertical="center"/>
    </xf>
    <xf numFmtId="4" fontId="41" fillId="0" borderId="73" xfId="47" applyNumberFormat="1" applyFont="1" applyFill="1" applyBorder="1" applyAlignment="1">
      <alignment vertical="center"/>
    </xf>
    <xf numFmtId="4" fontId="42" fillId="40" borderId="48" xfId="47" applyNumberFormat="1" applyFont="1" applyFill="1" applyBorder="1" applyAlignment="1">
      <alignment vertical="center"/>
    </xf>
    <xf numFmtId="4" fontId="42" fillId="35" borderId="20" xfId="47" applyNumberFormat="1" applyFont="1" applyFill="1" applyBorder="1" applyAlignment="1">
      <alignment vertical="center"/>
    </xf>
    <xf numFmtId="4" fontId="41" fillId="0" borderId="63" xfId="47" applyNumberFormat="1" applyFont="1" applyBorder="1" applyAlignment="1">
      <alignment vertical="top"/>
    </xf>
    <xf numFmtId="4" fontId="41" fillId="0" borderId="60" xfId="47" applyNumberFormat="1" applyFont="1" applyBorder="1" applyAlignment="1">
      <alignment vertical="top"/>
    </xf>
    <xf numFmtId="4" fontId="41" fillId="0" borderId="91" xfId="47" applyNumberFormat="1" applyFont="1" applyBorder="1" applyAlignment="1">
      <alignment vertical="top"/>
    </xf>
    <xf numFmtId="4" fontId="58" fillId="42" borderId="40" xfId="47" applyNumberFormat="1" applyFont="1" applyFill="1" applyBorder="1" applyAlignment="1">
      <alignment horizontal="right" vertical="center"/>
    </xf>
    <xf numFmtId="4" fontId="58" fillId="0" borderId="20" xfId="47" applyNumberFormat="1" applyFont="1" applyFill="1" applyBorder="1" applyAlignment="1">
      <alignment horizontal="right" vertical="center"/>
    </xf>
    <xf numFmtId="4" fontId="41" fillId="0" borderId="61" xfId="47" applyNumberFormat="1" applyFont="1" applyFill="1" applyBorder="1" applyAlignment="1">
      <alignment vertical="center"/>
    </xf>
    <xf numFmtId="4" fontId="41" fillId="40" borderId="47" xfId="47" applyNumberFormat="1" applyFont="1" applyFill="1" applyBorder="1" applyAlignment="1">
      <alignment vertical="center"/>
    </xf>
    <xf numFmtId="4" fontId="42" fillId="36" borderId="40" xfId="47" applyNumberFormat="1" applyFont="1" applyFill="1" applyBorder="1" applyAlignment="1">
      <alignment horizontal="right" vertical="center"/>
    </xf>
    <xf numFmtId="4" fontId="42" fillId="42" borderId="40" xfId="47" applyNumberFormat="1" applyFont="1" applyFill="1" applyBorder="1" applyAlignment="1">
      <alignment horizontal="right" vertical="center"/>
    </xf>
    <xf numFmtId="4" fontId="41" fillId="0" borderId="20" xfId="47" applyNumberFormat="1" applyFont="1" applyBorder="1" applyAlignment="1">
      <alignment vertical="center"/>
    </xf>
    <xf numFmtId="4" fontId="41" fillId="0" borderId="108" xfId="47" applyNumberFormat="1" applyFont="1" applyFill="1" applyBorder="1" applyAlignment="1">
      <alignment vertical="center"/>
    </xf>
    <xf numFmtId="4" fontId="41" fillId="0" borderId="111" xfId="47" applyNumberFormat="1" applyFont="1" applyBorder="1" applyAlignment="1">
      <alignment vertical="center"/>
    </xf>
    <xf numFmtId="4" fontId="41" fillId="0" borderId="62" xfId="47" applyNumberFormat="1" applyFont="1" applyFill="1" applyBorder="1" applyAlignment="1">
      <alignment vertical="center"/>
    </xf>
    <xf numFmtId="4" fontId="41" fillId="40" borderId="50" xfId="47" applyNumberFormat="1" applyFont="1" applyFill="1" applyBorder="1" applyAlignment="1">
      <alignment vertical="center"/>
    </xf>
    <xf numFmtId="4" fontId="59" fillId="0" borderId="60" xfId="47" applyNumberFormat="1" applyFont="1" applyFill="1" applyBorder="1" applyAlignment="1">
      <alignment vertical="center"/>
    </xf>
    <xf numFmtId="4" fontId="59" fillId="0" borderId="70" xfId="47" applyNumberFormat="1" applyFont="1" applyFill="1" applyBorder="1" applyAlignment="1">
      <alignment vertical="center"/>
    </xf>
    <xf numFmtId="4" fontId="65" fillId="39" borderId="51" xfId="47" applyNumberFormat="1" applyFont="1" applyFill="1" applyBorder="1" applyAlignment="1">
      <alignment horizontal="right" vertical="center"/>
    </xf>
    <xf numFmtId="4" fontId="65" fillId="0" borderId="0" xfId="47" applyNumberFormat="1" applyFont="1" applyFill="1" applyBorder="1" applyAlignment="1">
      <alignment horizontal="right" vertical="center"/>
    </xf>
    <xf numFmtId="4" fontId="65" fillId="39" borderId="40" xfId="47" applyNumberFormat="1" applyFont="1" applyFill="1" applyBorder="1" applyAlignment="1">
      <alignment vertical="center"/>
    </xf>
    <xf numFmtId="4" fontId="41" fillId="0" borderId="83" xfId="47" applyNumberFormat="1" applyFont="1" applyBorder="1" applyAlignment="1">
      <alignment vertical="center"/>
    </xf>
    <xf numFmtId="4" fontId="41" fillId="0" borderId="45" xfId="47" applyNumberFormat="1" applyFont="1" applyFill="1" applyBorder="1" applyAlignment="1">
      <alignment vertical="center"/>
    </xf>
    <xf numFmtId="4" fontId="42" fillId="0" borderId="52" xfId="47" applyNumberFormat="1" applyFont="1" applyFill="1" applyBorder="1" applyAlignment="1">
      <alignment horizontal="right" vertical="center"/>
    </xf>
    <xf numFmtId="4" fontId="41" fillId="0" borderId="48" xfId="47" applyNumberFormat="1" applyFont="1" applyFill="1" applyBorder="1" applyAlignment="1">
      <alignment vertical="center"/>
    </xf>
    <xf numFmtId="4" fontId="42" fillId="35" borderId="45" xfId="47" applyNumberFormat="1" applyFont="1" applyFill="1" applyBorder="1" applyAlignment="1">
      <alignment horizontal="right" vertical="center"/>
    </xf>
    <xf numFmtId="4" fontId="42" fillId="0" borderId="52" xfId="47" applyNumberFormat="1" applyFont="1" applyBorder="1" applyAlignment="1">
      <alignment vertical="center"/>
    </xf>
    <xf numFmtId="4" fontId="59" fillId="0" borderId="52" xfId="47" applyNumberFormat="1" applyFont="1" applyFill="1" applyBorder="1" applyAlignment="1">
      <alignment horizontal="right" vertical="center"/>
    </xf>
    <xf numFmtId="4" fontId="41" fillId="0" borderId="42" xfId="47" applyNumberFormat="1" applyFont="1" applyFill="1" applyBorder="1" applyAlignment="1">
      <alignment vertical="center"/>
    </xf>
    <xf numFmtId="4" fontId="41" fillId="0" borderId="44" xfId="47" applyNumberFormat="1" applyFont="1" applyFill="1" applyBorder="1" applyAlignment="1">
      <alignment vertical="center"/>
    </xf>
    <xf numFmtId="4" fontId="41" fillId="0" borderId="95" xfId="47" applyNumberFormat="1" applyFont="1" applyFill="1" applyBorder="1" applyAlignment="1">
      <alignment vertical="center"/>
    </xf>
    <xf numFmtId="4" fontId="42" fillId="35" borderId="40" xfId="47" applyNumberFormat="1" applyFont="1" applyFill="1" applyBorder="1" applyAlignment="1">
      <alignment vertical="center"/>
    </xf>
    <xf numFmtId="4" fontId="42" fillId="38" borderId="20" xfId="47" applyNumberFormat="1" applyFont="1" applyFill="1" applyBorder="1" applyAlignment="1">
      <alignment horizontal="right" vertical="center"/>
    </xf>
    <xf numFmtId="4" fontId="42" fillId="38" borderId="45" xfId="47" applyNumberFormat="1" applyFont="1" applyFill="1" applyBorder="1" applyAlignment="1">
      <alignment horizontal="right" vertical="center"/>
    </xf>
    <xf numFmtId="4" fontId="42" fillId="42" borderId="45" xfId="47" applyNumberFormat="1" applyFont="1" applyFill="1" applyBorder="1" applyAlignment="1">
      <alignment horizontal="right" vertical="center"/>
    </xf>
    <xf numFmtId="4" fontId="65" fillId="39" borderId="40" xfId="47" applyNumberFormat="1" applyFont="1" applyFill="1" applyBorder="1" applyAlignment="1">
      <alignment horizontal="right" vertical="center"/>
    </xf>
    <xf numFmtId="4" fontId="65" fillId="39" borderId="45" xfId="47" applyNumberFormat="1" applyFont="1" applyFill="1" applyBorder="1" applyAlignment="1">
      <alignment vertical="center"/>
    </xf>
    <xf numFmtId="4" fontId="36" fillId="38" borderId="56" xfId="47" applyNumberFormat="1" applyFont="1" applyFill="1" applyBorder="1" applyAlignment="1">
      <alignment horizontal="center" vertical="center" wrapText="1"/>
    </xf>
    <xf numFmtId="3" fontId="36" fillId="0" borderId="107" xfId="47" applyNumberFormat="1" applyFont="1" applyFill="1" applyBorder="1" applyAlignment="1">
      <alignment horizontal="center" vertical="center" wrapText="1"/>
    </xf>
    <xf numFmtId="4" fontId="41" fillId="0" borderId="43" xfId="47" applyNumberFormat="1" applyFont="1" applyBorder="1" applyAlignment="1">
      <alignment vertical="center"/>
    </xf>
    <xf numFmtId="4" fontId="41" fillId="0" borderId="125" xfId="47" applyNumberFormat="1" applyFont="1" applyFill="1" applyBorder="1" applyAlignment="1">
      <alignment vertical="center"/>
    </xf>
    <xf numFmtId="4" fontId="42" fillId="40" borderId="51" xfId="47" applyNumberFormat="1" applyFont="1" applyFill="1" applyBorder="1" applyAlignment="1">
      <alignment horizontal="right" vertical="center"/>
    </xf>
    <xf numFmtId="4" fontId="41" fillId="0" borderId="126" xfId="47" applyNumberFormat="1" applyFont="1" applyBorder="1" applyAlignment="1">
      <alignment vertical="center"/>
    </xf>
    <xf numFmtId="4" fontId="41" fillId="0" borderId="41" xfId="47" applyNumberFormat="1" applyFont="1" applyBorder="1" applyAlignment="1">
      <alignment vertical="center"/>
    </xf>
    <xf numFmtId="4" fontId="41" fillId="0" borderId="41" xfId="47" applyNumberFormat="1" applyFont="1" applyFill="1" applyBorder="1" applyAlignment="1">
      <alignment vertical="center"/>
    </xf>
    <xf numFmtId="4" fontId="41" fillId="0" borderId="125" xfId="47" applyNumberFormat="1" applyFont="1" applyBorder="1" applyAlignment="1">
      <alignment vertical="center"/>
    </xf>
    <xf numFmtId="4" fontId="41" fillId="0" borderId="71" xfId="47" applyNumberFormat="1" applyFont="1" applyFill="1" applyBorder="1" applyAlignment="1">
      <alignment vertical="center"/>
    </xf>
    <xf numFmtId="4" fontId="41" fillId="0" borderId="46" xfId="47" applyNumberFormat="1" applyFont="1" applyBorder="1" applyAlignment="1">
      <alignment vertical="center"/>
    </xf>
    <xf numFmtId="4" fontId="41" fillId="0" borderId="12" xfId="47" applyNumberFormat="1" applyFont="1" applyBorder="1" applyAlignment="1">
      <alignment vertical="center"/>
    </xf>
    <xf numFmtId="4" fontId="42" fillId="40" borderId="46" xfId="47" applyNumberFormat="1" applyFont="1" applyFill="1" applyBorder="1" applyAlignment="1">
      <alignment horizontal="right" vertical="center"/>
    </xf>
    <xf numFmtId="4" fontId="42" fillId="40" borderId="51" xfId="47" applyNumberFormat="1" applyFont="1" applyFill="1" applyBorder="1" applyAlignment="1">
      <alignment vertical="center"/>
    </xf>
    <xf numFmtId="4" fontId="42" fillId="0" borderId="41" xfId="47" applyNumberFormat="1" applyFont="1" applyFill="1" applyBorder="1" applyAlignment="1">
      <alignment horizontal="right" vertical="center"/>
    </xf>
    <xf numFmtId="4" fontId="42" fillId="0" borderId="43" xfId="47" applyNumberFormat="1" applyFont="1" applyFill="1" applyBorder="1" applyAlignment="1">
      <alignment horizontal="right" vertical="center"/>
    </xf>
    <xf numFmtId="4" fontId="59" fillId="0" borderId="63" xfId="47" applyNumberFormat="1" applyFont="1" applyFill="1" applyBorder="1" applyAlignment="1">
      <alignment horizontal="right" vertical="center"/>
    </xf>
    <xf numFmtId="4" fontId="59" fillId="0" borderId="64" xfId="47" applyNumberFormat="1" applyFont="1" applyFill="1" applyBorder="1" applyAlignment="1">
      <alignment horizontal="right" vertical="center"/>
    </xf>
    <xf numFmtId="4" fontId="59" fillId="0" borderId="71" xfId="47" applyNumberFormat="1" applyFont="1" applyFill="1" applyBorder="1" applyAlignment="1">
      <alignment horizontal="right" vertical="center"/>
    </xf>
    <xf numFmtId="4" fontId="41" fillId="0" borderId="126" xfId="47" applyNumberFormat="1" applyFont="1" applyFill="1" applyBorder="1" applyAlignment="1">
      <alignment vertical="center"/>
    </xf>
    <xf numFmtId="4" fontId="41" fillId="0" borderId="51" xfId="47" applyNumberFormat="1" applyFont="1" applyFill="1" applyBorder="1" applyAlignment="1">
      <alignment vertical="center"/>
    </xf>
    <xf numFmtId="4" fontId="42" fillId="38" borderId="51" xfId="47" applyNumberFormat="1" applyFont="1" applyFill="1" applyBorder="1" applyAlignment="1">
      <alignment horizontal="right" vertical="center"/>
    </xf>
    <xf numFmtId="4" fontId="42" fillId="40" borderId="46" xfId="47" applyNumberFormat="1" applyFont="1" applyFill="1" applyBorder="1" applyAlignment="1">
      <alignment vertical="center"/>
    </xf>
    <xf numFmtId="4" fontId="59" fillId="0" borderId="66" xfId="47" applyNumberFormat="1" applyFont="1" applyBorder="1" applyAlignment="1">
      <alignment vertical="center"/>
    </xf>
    <xf numFmtId="4" fontId="41" fillId="0" borderId="46" xfId="47" applyNumberFormat="1" applyFont="1" applyFill="1" applyBorder="1" applyAlignment="1">
      <alignment vertical="center"/>
    </xf>
    <xf numFmtId="4" fontId="41" fillId="0" borderId="63" xfId="47" applyNumberFormat="1" applyFont="1" applyFill="1" applyBorder="1" applyAlignment="1">
      <alignment vertical="center"/>
    </xf>
    <xf numFmtId="4" fontId="41" fillId="0" borderId="66" xfId="47" applyNumberFormat="1" applyFont="1" applyBorder="1" applyAlignment="1">
      <alignment vertical="center"/>
    </xf>
    <xf numFmtId="4" fontId="41" fillId="0" borderId="127" xfId="47" applyNumberFormat="1" applyFont="1" applyFill="1" applyBorder="1" applyAlignment="1">
      <alignment vertical="center"/>
    </xf>
    <xf numFmtId="4" fontId="41" fillId="0" borderId="66" xfId="47" applyNumberFormat="1" applyFont="1" applyBorder="1" applyAlignment="1">
      <alignment vertical="top"/>
    </xf>
    <xf numFmtId="4" fontId="41" fillId="0" borderId="64" xfId="47" applyNumberFormat="1" applyFont="1" applyBorder="1" applyAlignment="1">
      <alignment vertical="top"/>
    </xf>
    <xf numFmtId="4" fontId="59" fillId="0" borderId="63" xfId="47" applyNumberFormat="1" applyFont="1" applyFill="1" applyBorder="1" applyAlignment="1">
      <alignment vertical="center"/>
    </xf>
    <xf numFmtId="4" fontId="59" fillId="0" borderId="71" xfId="47" applyNumberFormat="1" applyFont="1" applyFill="1" applyBorder="1" applyAlignment="1">
      <alignment vertical="center"/>
    </xf>
    <xf numFmtId="4" fontId="41" fillId="0" borderId="49" xfId="0" applyNumberFormat="1" applyFont="1" applyFill="1" applyBorder="1"/>
    <xf numFmtId="4" fontId="41" fillId="0" borderId="52" xfId="0" applyNumberFormat="1" applyFont="1" applyFill="1" applyBorder="1"/>
    <xf numFmtId="4" fontId="41" fillId="0" borderId="40" xfId="0" applyNumberFormat="1" applyFont="1" applyFill="1" applyBorder="1"/>
    <xf numFmtId="4" fontId="41" fillId="0" borderId="50" xfId="0" applyNumberFormat="1" applyFont="1" applyFill="1" applyBorder="1"/>
    <xf numFmtId="4" fontId="41" fillId="0" borderId="60" xfId="0" applyNumberFormat="1" applyFont="1" applyFill="1" applyBorder="1"/>
    <xf numFmtId="4" fontId="41" fillId="0" borderId="128" xfId="0" applyNumberFormat="1" applyFont="1" applyFill="1" applyBorder="1"/>
    <xf numFmtId="4" fontId="41" fillId="0" borderId="129" xfId="0" applyNumberFormat="1" applyFont="1" applyFill="1" applyBorder="1"/>
    <xf numFmtId="3" fontId="63" fillId="0" borderId="21" xfId="0" applyNumberFormat="1" applyFont="1" applyFill="1" applyBorder="1" applyAlignment="1">
      <alignment horizontal="center"/>
    </xf>
    <xf numFmtId="0" fontId="21" fillId="0" borderId="66" xfId="0" applyFont="1" applyBorder="1" applyAlignment="1">
      <alignment horizontal="center" vertical="center" wrapText="1"/>
    </xf>
    <xf numFmtId="3" fontId="41" fillId="0" borderId="68" xfId="47" applyNumberFormat="1" applyFont="1" applyFill="1" applyBorder="1" applyAlignment="1">
      <alignment horizontal="right" vertical="center"/>
    </xf>
    <xf numFmtId="0" fontId="21" fillId="0" borderId="125" xfId="0" applyFont="1" applyBorder="1" applyAlignment="1">
      <alignment horizontal="center" vertical="center" wrapText="1"/>
    </xf>
    <xf numFmtId="3" fontId="35" fillId="0" borderId="128" xfId="0" applyNumberFormat="1" applyFont="1" applyBorder="1" applyAlignment="1">
      <alignment horizontal="left" vertical="center" wrapText="1"/>
    </xf>
    <xf numFmtId="4" fontId="41" fillId="0" borderId="128" xfId="47" applyNumberFormat="1" applyFont="1" applyFill="1" applyBorder="1" applyAlignment="1">
      <alignment vertical="center"/>
    </xf>
    <xf numFmtId="0" fontId="21" fillId="0" borderId="125" xfId="0" applyFont="1" applyFill="1" applyBorder="1" applyAlignment="1">
      <alignment horizontal="center" vertical="center" wrapText="1"/>
    </xf>
    <xf numFmtId="3" fontId="35" fillId="0" borderId="128" xfId="0" applyNumberFormat="1" applyFont="1" applyFill="1" applyBorder="1" applyAlignment="1">
      <alignment horizontal="left" vertical="center" wrapText="1"/>
    </xf>
    <xf numFmtId="0" fontId="21" fillId="0" borderId="127" xfId="0" applyFont="1" applyBorder="1" applyAlignment="1">
      <alignment horizontal="center" vertical="center" wrapText="1"/>
    </xf>
    <xf numFmtId="3" fontId="35" fillId="0" borderId="129" xfId="0" applyNumberFormat="1" applyFont="1" applyBorder="1" applyAlignment="1">
      <alignment horizontal="left" vertical="center" wrapText="1"/>
    </xf>
    <xf numFmtId="3" fontId="41" fillId="0" borderId="130" xfId="47" applyNumberFormat="1" applyFont="1" applyBorder="1" applyAlignment="1">
      <alignment horizontal="right" vertical="center"/>
    </xf>
    <xf numFmtId="4" fontId="41" fillId="0" borderId="129" xfId="47" applyNumberFormat="1" applyFont="1" applyFill="1" applyBorder="1" applyAlignment="1">
      <alignment vertical="center"/>
    </xf>
    <xf numFmtId="4" fontId="63" fillId="40" borderId="50" xfId="0" applyNumberFormat="1" applyFont="1" applyFill="1" applyBorder="1"/>
    <xf numFmtId="0" fontId="21" fillId="0" borderId="66" xfId="0" applyFont="1" applyFill="1" applyBorder="1" applyAlignment="1">
      <alignment horizontal="center" vertical="center" wrapText="1"/>
    </xf>
    <xf numFmtId="4" fontId="63" fillId="38" borderId="11" xfId="0" applyNumberFormat="1" applyFont="1" applyFill="1" applyBorder="1" applyAlignment="1">
      <alignment horizontal="center" vertical="center" wrapText="1"/>
    </xf>
    <xf numFmtId="4" fontId="63" fillId="31" borderId="50" xfId="0" applyNumberFormat="1" applyFont="1" applyFill="1" applyBorder="1"/>
    <xf numFmtId="0" fontId="21" fillId="0" borderId="67" xfId="0" applyFont="1" applyFill="1" applyBorder="1" applyAlignment="1">
      <alignment horizontal="center" vertical="center" wrapText="1"/>
    </xf>
    <xf numFmtId="3" fontId="21" fillId="0" borderId="61" xfId="0" applyNumberFormat="1" applyFont="1" applyFill="1" applyBorder="1" applyAlignment="1">
      <alignment horizontal="left" vertical="center" wrapText="1"/>
    </xf>
    <xf numFmtId="3" fontId="35" fillId="0" borderId="61" xfId="0" applyNumberFormat="1" applyFont="1" applyFill="1" applyBorder="1" applyAlignment="1">
      <alignment horizontal="left" vertical="center" wrapText="1"/>
    </xf>
    <xf numFmtId="0" fontId="41" fillId="0" borderId="114" xfId="0" applyFont="1" applyFill="1" applyBorder="1" applyAlignment="1">
      <alignment horizontal="center" vertical="center"/>
    </xf>
    <xf numFmtId="3" fontId="41" fillId="0" borderId="114" xfId="47" applyNumberFormat="1" applyFont="1" applyFill="1" applyBorder="1" applyAlignment="1">
      <alignment horizontal="right" vertical="center"/>
    </xf>
    <xf numFmtId="4" fontId="41" fillId="0" borderId="129" xfId="0" applyNumberFormat="1" applyFont="1" applyFill="1" applyBorder="1" applyAlignment="1">
      <alignment vertical="center"/>
    </xf>
    <xf numFmtId="4" fontId="63" fillId="40" borderId="40" xfId="0" applyNumberFormat="1" applyFont="1" applyFill="1" applyBorder="1" applyAlignment="1">
      <alignment vertical="center"/>
    </xf>
    <xf numFmtId="4" fontId="63" fillId="40" borderId="50" xfId="0" applyNumberFormat="1" applyFont="1" applyFill="1" applyBorder="1" applyAlignment="1">
      <alignment vertical="center"/>
    </xf>
    <xf numFmtId="4" fontId="41" fillId="0" borderId="68" xfId="0" applyNumberFormat="1" applyFont="1" applyFill="1" applyBorder="1"/>
    <xf numFmtId="4" fontId="41" fillId="0" borderId="69" xfId="0" applyNumberFormat="1" applyFont="1" applyFill="1" applyBorder="1"/>
    <xf numFmtId="4" fontId="41" fillId="0" borderId="130" xfId="0" applyNumberFormat="1" applyFont="1" applyFill="1" applyBorder="1"/>
    <xf numFmtId="0" fontId="41" fillId="0" borderId="54" xfId="0" applyFont="1" applyBorder="1" applyAlignment="1">
      <alignment horizontal="center" vertical="center"/>
    </xf>
    <xf numFmtId="0" fontId="41" fillId="0" borderId="131" xfId="0" applyFont="1" applyFill="1" applyBorder="1" applyAlignment="1">
      <alignment horizontal="center" vertical="center"/>
    </xf>
    <xf numFmtId="0" fontId="41" fillId="0" borderId="132" xfId="0" applyFont="1" applyFill="1" applyBorder="1" applyAlignment="1">
      <alignment horizontal="center" vertical="center"/>
    </xf>
    <xf numFmtId="3" fontId="23" fillId="0" borderId="56" xfId="49" applyNumberFormat="1" applyFont="1" applyFill="1" applyBorder="1" applyAlignment="1">
      <alignment horizontal="left" vertical="center" wrapText="1"/>
    </xf>
    <xf numFmtId="3" fontId="23" fillId="0" borderId="58" xfId="49" applyNumberFormat="1" applyFont="1" applyFill="1" applyBorder="1" applyAlignment="1">
      <alignment horizontal="left" vertical="center" wrapText="1"/>
    </xf>
    <xf numFmtId="3" fontId="35" fillId="0" borderId="133" xfId="0" applyNumberFormat="1" applyFont="1" applyFill="1" applyBorder="1" applyAlignment="1">
      <alignment horizontal="left" vertical="center" wrapText="1"/>
    </xf>
    <xf numFmtId="3" fontId="41" fillId="0" borderId="60" xfId="47" applyNumberFormat="1" applyFont="1" applyBorder="1" applyAlignment="1">
      <alignment horizontal="right" vertical="center"/>
    </xf>
    <xf numFmtId="3" fontId="41" fillId="0" borderId="128" xfId="47" applyNumberFormat="1" applyFont="1" applyFill="1" applyBorder="1" applyAlignment="1">
      <alignment horizontal="right" vertical="center"/>
    </xf>
    <xf numFmtId="3" fontId="41" fillId="0" borderId="129" xfId="47" applyNumberFormat="1" applyFont="1" applyFill="1" applyBorder="1" applyAlignment="1">
      <alignment horizontal="right" vertical="center"/>
    </xf>
    <xf numFmtId="4" fontId="63" fillId="38" borderId="50" xfId="0" applyNumberFormat="1" applyFont="1" applyFill="1" applyBorder="1" applyAlignment="1">
      <alignment vertical="center"/>
    </xf>
    <xf numFmtId="4" fontId="41" fillId="0" borderId="74" xfId="47" applyNumberFormat="1" applyFont="1" applyFill="1" applyBorder="1" applyAlignment="1">
      <alignment vertical="center"/>
    </xf>
    <xf numFmtId="4" fontId="41" fillId="0" borderId="12" xfId="47" applyNumberFormat="1" applyFont="1" applyFill="1" applyBorder="1" applyAlignment="1">
      <alignment vertical="center"/>
    </xf>
    <xf numFmtId="3" fontId="41" fillId="0" borderId="46" xfId="47" applyNumberFormat="1" applyFont="1" applyBorder="1" applyAlignment="1">
      <alignment horizontal="right" vertical="center"/>
    </xf>
    <xf numFmtId="4" fontId="41" fillId="0" borderId="64" xfId="47" applyNumberFormat="1" applyFont="1" applyFill="1" applyBorder="1" applyAlignment="1">
      <alignment horizontal="right" vertical="center"/>
    </xf>
    <xf numFmtId="4" fontId="41" fillId="0" borderId="70" xfId="0" applyNumberFormat="1" applyFont="1" applyFill="1" applyBorder="1"/>
    <xf numFmtId="0" fontId="21" fillId="0" borderId="128" xfId="0" applyFont="1" applyFill="1" applyBorder="1" applyAlignment="1">
      <alignment horizontal="center" vertical="center" wrapText="1"/>
    </xf>
    <xf numFmtId="4" fontId="41" fillId="0" borderId="128" xfId="47" applyNumberFormat="1" applyFont="1" applyFill="1" applyBorder="1" applyAlignment="1">
      <alignment horizontal="right" vertical="center"/>
    </xf>
    <xf numFmtId="4" fontId="41" fillId="0" borderId="44" xfId="0" applyNumberFormat="1" applyFont="1" applyFill="1" applyBorder="1"/>
    <xf numFmtId="4" fontId="41" fillId="40" borderId="40" xfId="0" applyNumberFormat="1" applyFont="1" applyFill="1" applyBorder="1"/>
    <xf numFmtId="4" fontId="63" fillId="40" borderId="40" xfId="0" applyNumberFormat="1" applyFont="1" applyFill="1" applyBorder="1"/>
    <xf numFmtId="0" fontId="41" fillId="0" borderId="45" xfId="0" applyFont="1" applyFill="1" applyBorder="1" applyAlignment="1">
      <alignment horizontal="center" vertical="center"/>
    </xf>
    <xf numFmtId="3" fontId="23" fillId="0" borderId="46" xfId="49" applyNumberFormat="1" applyFont="1" applyFill="1" applyBorder="1" applyAlignment="1">
      <alignment horizontal="left" vertical="center" wrapText="1"/>
    </xf>
    <xf numFmtId="0" fontId="41" fillId="0" borderId="67" xfId="0" applyFont="1" applyFill="1" applyBorder="1" applyAlignment="1">
      <alignment horizontal="left" vertical="center"/>
    </xf>
    <xf numFmtId="0" fontId="41" fillId="0" borderId="61" xfId="0" applyFont="1" applyFill="1" applyBorder="1" applyAlignment="1">
      <alignment horizontal="left" vertical="center"/>
    </xf>
    <xf numFmtId="0" fontId="41" fillId="0" borderId="80" xfId="0" applyFont="1" applyFill="1" applyBorder="1" applyAlignment="1">
      <alignment horizontal="left" vertical="center"/>
    </xf>
    <xf numFmtId="4" fontId="63" fillId="35" borderId="50" xfId="0" applyNumberFormat="1" applyFont="1" applyFill="1" applyBorder="1" applyAlignment="1">
      <alignment vertical="center"/>
    </xf>
    <xf numFmtId="0" fontId="41" fillId="0" borderId="94" xfId="0" applyFont="1" applyFill="1" applyBorder="1" applyAlignment="1">
      <alignment vertical="center" wrapText="1"/>
    </xf>
    <xf numFmtId="0" fontId="41" fillId="0" borderId="97" xfId="0" applyFont="1" applyFill="1" applyBorder="1" applyAlignment="1">
      <alignment horizontal="center" vertical="center"/>
    </xf>
    <xf numFmtId="3" fontId="41" fillId="0" borderId="98" xfId="47" applyNumberFormat="1" applyFont="1" applyFill="1" applyBorder="1" applyAlignment="1">
      <alignment horizontal="right" vertical="center"/>
    </xf>
    <xf numFmtId="4" fontId="59" fillId="0" borderId="66" xfId="47" applyNumberFormat="1" applyFont="1" applyFill="1" applyBorder="1" applyAlignment="1">
      <alignment horizontal="right" vertical="center"/>
    </xf>
    <xf numFmtId="4" fontId="59" fillId="0" borderId="46" xfId="47" applyNumberFormat="1" applyFont="1" applyFill="1" applyBorder="1" applyAlignment="1">
      <alignment horizontal="right" vertical="center"/>
    </xf>
    <xf numFmtId="4" fontId="59" fillId="0" borderId="129" xfId="47" applyNumberFormat="1" applyFont="1" applyFill="1" applyBorder="1" applyAlignment="1">
      <alignment horizontal="right" vertical="center"/>
    </xf>
    <xf numFmtId="4" fontId="59" fillId="0" borderId="127" xfId="47" applyNumberFormat="1" applyFont="1" applyFill="1" applyBorder="1" applyAlignment="1">
      <alignment horizontal="right" vertical="center"/>
    </xf>
    <xf numFmtId="4" fontId="59" fillId="0" borderId="66" xfId="47" applyNumberFormat="1" applyFont="1" applyFill="1" applyBorder="1" applyAlignment="1">
      <alignment vertical="center"/>
    </xf>
    <xf numFmtId="4" fontId="63" fillId="35" borderId="40" xfId="0" applyNumberFormat="1" applyFont="1" applyFill="1" applyBorder="1" applyAlignment="1">
      <alignment vertical="center"/>
    </xf>
    <xf numFmtId="4" fontId="41" fillId="0" borderId="128" xfId="47" applyNumberFormat="1" applyFont="1" applyBorder="1" applyAlignment="1">
      <alignment vertical="center"/>
    </xf>
    <xf numFmtId="0" fontId="41" fillId="0" borderId="125" xfId="0" applyFont="1" applyBorder="1" applyAlignment="1">
      <alignment horizontal="center" vertical="center"/>
    </xf>
    <xf numFmtId="0" fontId="41" fillId="0" borderId="125" xfId="0" applyFont="1" applyBorder="1" applyAlignment="1">
      <alignment horizontal="left" vertical="center"/>
    </xf>
    <xf numFmtId="3" fontId="41" fillId="0" borderId="125" xfId="47" applyNumberFormat="1" applyFont="1" applyFill="1" applyBorder="1" applyAlignment="1">
      <alignment horizontal="right" vertical="center"/>
    </xf>
    <xf numFmtId="0" fontId="41" fillId="0" borderId="125" xfId="0" applyFont="1" applyFill="1" applyBorder="1" applyAlignment="1">
      <alignment horizontal="center" vertical="center"/>
    </xf>
    <xf numFmtId="0" fontId="41" fillId="0" borderId="127" xfId="0" applyFont="1" applyFill="1" applyBorder="1" applyAlignment="1">
      <alignment horizontal="center" vertical="center"/>
    </xf>
    <xf numFmtId="0" fontId="41" fillId="0" borderId="128" xfId="0" applyFont="1" applyFill="1" applyBorder="1" applyAlignment="1">
      <alignment vertical="center" wrapText="1"/>
    </xf>
    <xf numFmtId="0" fontId="41" fillId="0" borderId="129" xfId="0" applyFont="1" applyFill="1" applyBorder="1" applyAlignment="1">
      <alignment vertical="center" wrapText="1"/>
    </xf>
    <xf numFmtId="3" fontId="41" fillId="0" borderId="126" xfId="47" applyNumberFormat="1" applyFont="1" applyFill="1" applyBorder="1" applyAlignment="1">
      <alignment horizontal="right" vertical="center"/>
    </xf>
    <xf numFmtId="3" fontId="41" fillId="0" borderId="60" xfId="47" applyNumberFormat="1" applyFont="1" applyFill="1" applyBorder="1" applyAlignment="1">
      <alignment horizontal="right" vertical="center"/>
    </xf>
    <xf numFmtId="4" fontId="41" fillId="0" borderId="129" xfId="47" applyNumberFormat="1" applyFont="1" applyBorder="1" applyAlignment="1">
      <alignment vertical="center"/>
    </xf>
    <xf numFmtId="0" fontId="41" fillId="0" borderId="63" xfId="0" applyFont="1" applyBorder="1" applyAlignment="1">
      <alignment vertical="center" wrapText="1"/>
    </xf>
    <xf numFmtId="0" fontId="41" fillId="0" borderId="64" xfId="0" applyFont="1" applyFill="1" applyBorder="1" applyAlignment="1">
      <alignment vertical="center" wrapText="1"/>
    </xf>
    <xf numFmtId="0" fontId="41" fillId="0" borderId="126" xfId="0" applyFont="1" applyFill="1" applyBorder="1" applyAlignment="1">
      <alignment vertical="center" wrapText="1"/>
    </xf>
    <xf numFmtId="0" fontId="41" fillId="0" borderId="128" xfId="0" applyFont="1" applyFill="1" applyBorder="1" applyAlignment="1">
      <alignment horizontal="center" vertical="center"/>
    </xf>
    <xf numFmtId="0" fontId="41" fillId="0" borderId="129" xfId="0" applyFont="1" applyFill="1" applyBorder="1" applyAlignment="1">
      <alignment horizontal="center" vertical="center"/>
    </xf>
    <xf numFmtId="3" fontId="35" fillId="0" borderId="129" xfId="0" applyNumberFormat="1" applyFont="1" applyFill="1" applyBorder="1" applyAlignment="1">
      <alignment horizontal="left" vertical="center" wrapText="1"/>
    </xf>
    <xf numFmtId="0" fontId="41" fillId="0" borderId="128" xfId="0" applyFont="1" applyBorder="1" applyAlignment="1">
      <alignment horizontal="left" vertical="center"/>
    </xf>
    <xf numFmtId="4" fontId="41" fillId="0" borderId="128" xfId="47" applyNumberFormat="1" applyFont="1" applyBorder="1" applyAlignment="1">
      <alignment horizontal="right" vertical="center"/>
    </xf>
    <xf numFmtId="0" fontId="41" fillId="0" borderId="41" xfId="0" applyFont="1" applyFill="1" applyBorder="1" applyAlignment="1">
      <alignment horizontal="left" vertical="center"/>
    </xf>
    <xf numFmtId="0" fontId="41" fillId="0" borderId="40" xfId="0" applyFont="1" applyFill="1" applyBorder="1" applyAlignment="1">
      <alignment horizontal="left" vertical="center"/>
    </xf>
    <xf numFmtId="0" fontId="41" fillId="0" borderId="75" xfId="0" applyFont="1" applyBorder="1" applyAlignment="1">
      <alignment horizontal="left" vertical="center"/>
    </xf>
    <xf numFmtId="0" fontId="41" fillId="0" borderId="70" xfId="0" applyFont="1" applyFill="1" applyBorder="1" applyAlignment="1">
      <alignment horizontal="left" vertical="center"/>
    </xf>
    <xf numFmtId="4" fontId="41" fillId="0" borderId="70" xfId="47" applyNumberFormat="1" applyFont="1" applyFill="1" applyBorder="1" applyAlignment="1">
      <alignment horizontal="right" vertical="center"/>
    </xf>
    <xf numFmtId="4" fontId="41" fillId="0" borderId="75" xfId="47" applyNumberFormat="1" applyFont="1" applyBorder="1" applyAlignment="1">
      <alignment vertical="center"/>
    </xf>
    <xf numFmtId="4" fontId="42" fillId="0" borderId="52" xfId="47" applyNumberFormat="1" applyFont="1" applyBorder="1" applyAlignment="1">
      <alignment horizontal="right" vertical="center"/>
    </xf>
    <xf numFmtId="0" fontId="41" fillId="0" borderId="127" xfId="0" applyFont="1" applyBorder="1" applyAlignment="1">
      <alignment horizontal="left" vertical="center"/>
    </xf>
    <xf numFmtId="0" fontId="41" fillId="0" borderId="60" xfId="0" applyFont="1" applyBorder="1" applyAlignment="1">
      <alignment horizontal="left" vertical="center" wrapText="1"/>
    </xf>
    <xf numFmtId="0" fontId="41" fillId="0" borderId="128" xfId="0" applyFont="1" applyBorder="1" applyAlignment="1">
      <alignment horizontal="left" vertical="center" wrapText="1"/>
    </xf>
    <xf numFmtId="0" fontId="41" fillId="0" borderId="129" xfId="0" applyFont="1" applyFill="1" applyBorder="1" applyAlignment="1">
      <alignment horizontal="left" vertical="center" wrapText="1"/>
    </xf>
    <xf numFmtId="4" fontId="41" fillId="0" borderId="63" xfId="47" applyNumberFormat="1" applyFont="1" applyFill="1" applyBorder="1" applyAlignment="1">
      <alignment horizontal="right" vertical="center"/>
    </xf>
    <xf numFmtId="4" fontId="41" fillId="0" borderId="126" xfId="47" applyNumberFormat="1" applyFont="1" applyFill="1" applyBorder="1" applyAlignment="1">
      <alignment horizontal="right" vertical="center"/>
    </xf>
    <xf numFmtId="0" fontId="41" fillId="0" borderId="125" xfId="0" applyFont="1" applyFill="1" applyBorder="1" applyAlignment="1">
      <alignment horizontal="left" vertical="center"/>
    </xf>
    <xf numFmtId="0" fontId="41" fillId="0" borderId="128" xfId="0" applyFont="1" applyFill="1" applyBorder="1" applyAlignment="1">
      <alignment horizontal="left" vertical="center" wrapText="1"/>
    </xf>
    <xf numFmtId="3" fontId="23" fillId="0" borderId="128" xfId="49" applyNumberFormat="1" applyFont="1" applyFill="1" applyBorder="1" applyAlignment="1">
      <alignment horizontal="left" vertical="center" wrapText="1"/>
    </xf>
    <xf numFmtId="4" fontId="63" fillId="40" borderId="129" xfId="0" applyNumberFormat="1" applyFont="1" applyFill="1" applyBorder="1" applyAlignment="1">
      <alignment vertical="center"/>
    </xf>
    <xf numFmtId="3" fontId="23" fillId="0" borderId="64" xfId="49" applyNumberFormat="1" applyFont="1" applyFill="1" applyBorder="1" applyAlignment="1">
      <alignment horizontal="left" vertical="center" wrapText="1"/>
    </xf>
    <xf numFmtId="4" fontId="41" fillId="0" borderId="64" xfId="47" applyNumberFormat="1" applyFont="1" applyFill="1" applyBorder="1" applyAlignment="1">
      <alignment vertical="top"/>
    </xf>
    <xf numFmtId="4" fontId="41" fillId="0" borderId="125" xfId="47" applyNumberFormat="1" applyFont="1" applyFill="1" applyBorder="1" applyAlignment="1">
      <alignment vertical="top"/>
    </xf>
    <xf numFmtId="3" fontId="41" fillId="0" borderId="128" xfId="47" applyNumberFormat="1" applyFont="1" applyFill="1" applyBorder="1" applyAlignment="1">
      <alignment horizontal="right" vertical="top"/>
    </xf>
    <xf numFmtId="3" fontId="41" fillId="0" borderId="130" xfId="47" applyNumberFormat="1" applyFont="1" applyFill="1" applyBorder="1" applyAlignment="1">
      <alignment horizontal="right" vertical="center"/>
    </xf>
    <xf numFmtId="4" fontId="42" fillId="38" borderId="50" xfId="47" applyNumberFormat="1" applyFont="1" applyFill="1" applyBorder="1" applyAlignment="1">
      <alignment vertical="center"/>
    </xf>
    <xf numFmtId="4" fontId="41" fillId="40" borderId="40" xfId="47" applyNumberFormat="1" applyFont="1" applyFill="1" applyBorder="1" applyAlignment="1">
      <alignment vertical="center"/>
    </xf>
    <xf numFmtId="4" fontId="63" fillId="40" borderId="40" xfId="47" applyNumberFormat="1" applyFont="1" applyFill="1" applyBorder="1" applyAlignment="1">
      <alignment vertical="center"/>
    </xf>
    <xf numFmtId="0" fontId="41" fillId="0" borderId="109" xfId="0" applyFont="1" applyFill="1" applyBorder="1" applyAlignment="1">
      <alignment horizontal="center" vertical="center"/>
    </xf>
    <xf numFmtId="3" fontId="21" fillId="0" borderId="108" xfId="0" applyNumberFormat="1" applyFont="1" applyFill="1" applyBorder="1" applyAlignment="1">
      <alignment horizontal="left" vertical="center" wrapText="1"/>
    </xf>
    <xf numFmtId="3" fontId="35" fillId="0" borderId="108" xfId="0" applyNumberFormat="1" applyFont="1" applyFill="1" applyBorder="1" applyAlignment="1">
      <alignment horizontal="left" vertical="center" wrapText="1"/>
    </xf>
    <xf numFmtId="0" fontId="41" fillId="0" borderId="118" xfId="0" applyFont="1" applyFill="1" applyBorder="1" applyAlignment="1">
      <alignment horizontal="center" vertical="center"/>
    </xf>
    <xf numFmtId="3" fontId="35" fillId="0" borderId="119" xfId="0" applyNumberFormat="1" applyFont="1" applyFill="1" applyBorder="1" applyAlignment="1">
      <alignment horizontal="left" vertical="center" wrapText="1"/>
    </xf>
    <xf numFmtId="4" fontId="41" fillId="0" borderId="119" xfId="47" applyNumberFormat="1" applyFont="1" applyFill="1" applyBorder="1" applyAlignment="1">
      <alignment vertical="center"/>
    </xf>
    <xf numFmtId="3" fontId="21" fillId="0" borderId="125" xfId="0" applyNumberFormat="1" applyFont="1" applyFill="1" applyBorder="1" applyAlignment="1">
      <alignment horizontal="left" vertical="center" wrapText="1"/>
    </xf>
    <xf numFmtId="3" fontId="35" fillId="0" borderId="125" xfId="0" applyNumberFormat="1" applyFont="1" applyFill="1" applyBorder="1" applyAlignment="1">
      <alignment horizontal="left" vertical="center" wrapText="1"/>
    </xf>
    <xf numFmtId="3" fontId="23" fillId="0" borderId="125" xfId="49" applyNumberFormat="1" applyFont="1" applyFill="1" applyBorder="1" applyAlignment="1">
      <alignment horizontal="left" vertical="center" wrapText="1"/>
    </xf>
    <xf numFmtId="3" fontId="35" fillId="0" borderId="58" xfId="0" applyNumberFormat="1" applyFont="1" applyFill="1" applyBorder="1" applyAlignment="1">
      <alignment horizontal="left" vertical="center" wrapText="1"/>
    </xf>
    <xf numFmtId="3" fontId="35" fillId="0" borderId="46" xfId="0" applyNumberFormat="1" applyFont="1" applyBorder="1" applyAlignment="1">
      <alignment horizontal="left" vertical="center" wrapText="1"/>
    </xf>
    <xf numFmtId="4" fontId="41" fillId="0" borderId="76" xfId="0" applyNumberFormat="1" applyFont="1" applyFill="1" applyBorder="1"/>
    <xf numFmtId="0" fontId="41" fillId="0" borderId="66" xfId="0" applyFont="1" applyFill="1" applyBorder="1" applyAlignment="1">
      <alignment horizontal="center"/>
    </xf>
    <xf numFmtId="3" fontId="41" fillId="0" borderId="63" xfId="0" applyNumberFormat="1" applyFont="1" applyFill="1" applyBorder="1"/>
    <xf numFmtId="4" fontId="41" fillId="0" borderId="63" xfId="0" applyNumberFormat="1" applyFont="1" applyFill="1" applyBorder="1"/>
    <xf numFmtId="4" fontId="42" fillId="37" borderId="50" xfId="47" applyNumberFormat="1" applyFont="1" applyFill="1" applyBorder="1" applyAlignment="1">
      <alignment horizontal="right" vertical="center"/>
    </xf>
    <xf numFmtId="4" fontId="42" fillId="42" borderId="50" xfId="47" applyNumberFormat="1" applyFont="1" applyFill="1" applyBorder="1" applyAlignment="1">
      <alignment horizontal="right" vertical="center"/>
    </xf>
    <xf numFmtId="0" fontId="41" fillId="0" borderId="127" xfId="0" applyFont="1" applyBorder="1" applyAlignment="1">
      <alignment horizontal="center" vertical="center"/>
    </xf>
    <xf numFmtId="3" fontId="41" fillId="0" borderId="126" xfId="47" applyNumberFormat="1" applyFont="1" applyBorder="1" applyAlignment="1">
      <alignment horizontal="right" vertical="center"/>
    </xf>
    <xf numFmtId="4" fontId="63" fillId="37" borderId="50" xfId="0" applyNumberFormat="1" applyFont="1" applyFill="1" applyBorder="1" applyAlignment="1">
      <alignment vertical="center"/>
    </xf>
    <xf numFmtId="0" fontId="59" fillId="0" borderId="106" xfId="0" applyFont="1" applyFill="1" applyBorder="1" applyAlignment="1">
      <alignment horizontal="center" vertical="center"/>
    </xf>
    <xf numFmtId="4" fontId="59" fillId="0" borderId="105" xfId="47" applyNumberFormat="1" applyFont="1" applyFill="1" applyBorder="1" applyAlignment="1">
      <alignment vertical="center"/>
    </xf>
    <xf numFmtId="3" fontId="59" fillId="0" borderId="104" xfId="47" applyNumberFormat="1" applyFont="1" applyFill="1" applyBorder="1" applyAlignment="1">
      <alignment horizontal="right" vertical="center"/>
    </xf>
    <xf numFmtId="4" fontId="59" fillId="0" borderId="103" xfId="47" applyNumberFormat="1" applyFont="1" applyFill="1" applyBorder="1" applyAlignment="1">
      <alignment vertical="center"/>
    </xf>
    <xf numFmtId="4" fontId="59" fillId="0" borderId="64" xfId="47" applyNumberFormat="1" applyFont="1" applyFill="1" applyBorder="1" applyAlignment="1">
      <alignment vertical="center"/>
    </xf>
    <xf numFmtId="4" fontId="63" fillId="40" borderId="52" xfId="0" applyNumberFormat="1" applyFont="1" applyFill="1" applyBorder="1" applyAlignment="1">
      <alignment vertical="center"/>
    </xf>
    <xf numFmtId="4" fontId="63" fillId="42" borderId="40" xfId="0" applyNumberFormat="1" applyFont="1" applyFill="1" applyBorder="1" applyAlignment="1">
      <alignment vertical="center"/>
    </xf>
    <xf numFmtId="49" fontId="38" fillId="31" borderId="23" xfId="0" applyNumberFormat="1" applyFont="1" applyFill="1" applyBorder="1" applyAlignment="1">
      <alignment horizontal="center"/>
    </xf>
    <xf numFmtId="0" fontId="38" fillId="31" borderId="23" xfId="0" applyFont="1" applyFill="1" applyBorder="1" applyAlignment="1">
      <alignment horizontal="left" wrapText="1"/>
    </xf>
    <xf numFmtId="4" fontId="70" fillId="31" borderId="23" xfId="0" applyNumberFormat="1" applyFont="1" applyFill="1" applyBorder="1" applyAlignment="1">
      <alignment horizontal="right" vertical="center" wrapText="1"/>
    </xf>
    <xf numFmtId="4" fontId="45" fillId="0" borderId="18" xfId="0" applyNumberFormat="1" applyFont="1" applyFill="1" applyBorder="1" applyAlignment="1" applyProtection="1"/>
    <xf numFmtId="4" fontId="39" fillId="6" borderId="11" xfId="1" applyNumberFormat="1" applyFont="1" applyFill="1" applyBorder="1" applyAlignment="1">
      <alignment horizontal="right" vertical="center" wrapText="1"/>
    </xf>
    <xf numFmtId="170" fontId="40" fillId="0" borderId="0" xfId="0" applyNumberFormat="1" applyFont="1" applyAlignment="1">
      <alignment horizontal="center"/>
    </xf>
    <xf numFmtId="170" fontId="40" fillId="0" borderId="0" xfId="0" applyNumberFormat="1" applyFont="1" applyAlignment="1">
      <alignment horizontal="right" vertical="center" wrapText="1"/>
    </xf>
    <xf numFmtId="170" fontId="40" fillId="6" borderId="11" xfId="0" applyNumberFormat="1" applyFont="1" applyFill="1" applyBorder="1" applyAlignment="1">
      <alignment horizontal="center" vertical="center" wrapText="1" shrinkToFit="1"/>
    </xf>
    <xf numFmtId="170" fontId="40" fillId="20" borderId="11" xfId="29" applyNumberFormat="1" applyFont="1" applyFill="1" applyBorder="1" applyAlignment="1" applyProtection="1">
      <alignment horizontal="right" vertical="center" wrapText="1"/>
    </xf>
    <xf numFmtId="170" fontId="38" fillId="0" borderId="11" xfId="29" applyNumberFormat="1" applyFont="1" applyFill="1" applyBorder="1" applyAlignment="1" applyProtection="1">
      <alignment horizontal="right" vertical="center" wrapText="1"/>
    </xf>
    <xf numFmtId="170" fontId="40" fillId="0" borderId="11" xfId="29" applyNumberFormat="1" applyFont="1" applyFill="1" applyBorder="1" applyAlignment="1" applyProtection="1">
      <alignment horizontal="right" vertical="center" wrapText="1"/>
    </xf>
    <xf numFmtId="170" fontId="40" fillId="33" borderId="11" xfId="29" applyNumberFormat="1" applyFont="1" applyFill="1" applyBorder="1" applyAlignment="1" applyProtection="1">
      <alignment horizontal="right" vertical="center" wrapText="1"/>
    </xf>
    <xf numFmtId="170" fontId="70" fillId="48" borderId="11" xfId="29" applyNumberFormat="1" applyFont="1" applyFill="1" applyBorder="1" applyAlignment="1" applyProtection="1">
      <alignment horizontal="right" vertical="center" wrapText="1"/>
    </xf>
    <xf numFmtId="170" fontId="40" fillId="4" borderId="11" xfId="29" applyNumberFormat="1" applyFont="1" applyFill="1" applyBorder="1" applyAlignment="1" applyProtection="1">
      <alignment horizontal="right" vertical="center" wrapText="1"/>
    </xf>
    <xf numFmtId="170" fontId="38" fillId="0" borderId="0" xfId="0" applyNumberFormat="1" applyFont="1" applyFill="1"/>
    <xf numFmtId="170" fontId="41" fillId="0" borderId="0" xfId="0" applyNumberFormat="1" applyFont="1"/>
    <xf numFmtId="165" fontId="70" fillId="33" borderId="11" xfId="0" applyNumberFormat="1" applyFont="1" applyFill="1" applyBorder="1" applyAlignment="1">
      <alignment horizontal="right" vertical="center" wrapText="1"/>
    </xf>
    <xf numFmtId="170" fontId="70" fillId="33" borderId="11" xfId="0" applyNumberFormat="1" applyFont="1" applyFill="1" applyBorder="1" applyAlignment="1">
      <alignment horizontal="right" vertical="center" wrapText="1"/>
    </xf>
    <xf numFmtId="165" fontId="38" fillId="0" borderId="11" xfId="0" applyNumberFormat="1" applyFont="1" applyBorder="1" applyAlignment="1">
      <alignment horizontal="center" vertical="center" wrapText="1"/>
    </xf>
    <xf numFmtId="4" fontId="40" fillId="0" borderId="23" xfId="48" applyNumberFormat="1" applyFont="1" applyFill="1" applyBorder="1" applyAlignment="1">
      <alignment horizontal="right" vertical="center" wrapText="1"/>
    </xf>
    <xf numFmtId="4" fontId="40" fillId="31" borderId="23" xfId="48" applyNumberFormat="1" applyFont="1" applyFill="1" applyBorder="1" applyAlignment="1">
      <alignment horizontal="right" vertical="center" wrapText="1"/>
    </xf>
    <xf numFmtId="4" fontId="40" fillId="29" borderId="23" xfId="48" applyNumberFormat="1" applyFont="1" applyFill="1" applyBorder="1" applyAlignment="1">
      <alignment horizontal="right" vertical="center" wrapText="1"/>
    </xf>
    <xf numFmtId="4" fontId="40" fillId="37" borderId="23" xfId="48" applyNumberFormat="1" applyFont="1" applyFill="1" applyBorder="1" applyAlignment="1">
      <alignment horizontal="right" vertical="center" wrapText="1"/>
    </xf>
    <xf numFmtId="4" fontId="46" fillId="31" borderId="11" xfId="48" applyNumberFormat="1" applyFont="1" applyFill="1" applyBorder="1" applyAlignment="1">
      <alignment horizontal="right"/>
    </xf>
    <xf numFmtId="4" fontId="46" fillId="0" borderId="19" xfId="48" applyNumberFormat="1" applyFont="1" applyBorder="1" applyAlignment="1">
      <alignment horizontal="right"/>
    </xf>
    <xf numFmtId="4" fontId="46" fillId="0" borderId="18" xfId="48" applyNumberFormat="1" applyFont="1" applyBorder="1" applyAlignment="1">
      <alignment horizontal="right"/>
    </xf>
    <xf numFmtId="4" fontId="39" fillId="6" borderId="11" xfId="48" applyNumberFormat="1" applyFont="1" applyFill="1" applyBorder="1" applyAlignment="1">
      <alignment horizontal="right" vertical="center" wrapText="1"/>
    </xf>
    <xf numFmtId="4" fontId="46" fillId="0" borderId="11" xfId="48" applyNumberFormat="1" applyFont="1" applyFill="1" applyBorder="1" applyAlignment="1">
      <alignment horizontal="right"/>
    </xf>
    <xf numFmtId="4" fontId="71" fillId="31" borderId="11" xfId="48" applyNumberFormat="1" applyFont="1" applyFill="1" applyBorder="1" applyAlignment="1">
      <alignment horizontal="right"/>
    </xf>
    <xf numFmtId="3" fontId="43" fillId="0" borderId="11" xfId="1" applyNumberFormat="1" applyFont="1" applyFill="1" applyBorder="1" applyAlignment="1">
      <alignment horizontal="center" vertical="center" wrapText="1"/>
    </xf>
    <xf numFmtId="4" fontId="40" fillId="0" borderId="0" xfId="0" applyNumberFormat="1" applyFont="1" applyAlignment="1">
      <alignment horizontal="right" vertical="center" wrapText="1"/>
    </xf>
    <xf numFmtId="4" fontId="40" fillId="6" borderId="11" xfId="0" applyNumberFormat="1" applyFont="1" applyFill="1" applyBorder="1" applyAlignment="1">
      <alignment horizontal="center" vertical="center" wrapText="1" shrinkToFit="1"/>
    </xf>
    <xf numFmtId="4" fontId="70" fillId="33" borderId="11" xfId="0" applyNumberFormat="1" applyFont="1" applyFill="1" applyBorder="1" applyAlignment="1">
      <alignment horizontal="right" vertical="center" wrapText="1"/>
    </xf>
    <xf numFmtId="4" fontId="40" fillId="20" borderId="11" xfId="48" applyNumberFormat="1" applyFont="1" applyFill="1" applyBorder="1" applyAlignment="1" applyProtection="1">
      <alignment horizontal="right" vertical="center" wrapText="1"/>
    </xf>
    <xf numFmtId="4" fontId="38" fillId="0" borderId="11" xfId="48" applyNumberFormat="1" applyFont="1" applyFill="1" applyBorder="1" applyAlignment="1" applyProtection="1">
      <alignment horizontal="right" vertical="center" wrapText="1"/>
    </xf>
    <xf numFmtId="4" fontId="38" fillId="0" borderId="11" xfId="48" applyNumberFormat="1" applyFont="1" applyFill="1" applyBorder="1" applyAlignment="1">
      <alignment horizontal="right" vertical="center" wrapText="1"/>
    </xf>
    <xf numFmtId="4" fontId="40" fillId="20" borderId="11" xfId="48" applyNumberFormat="1" applyFont="1" applyFill="1" applyBorder="1" applyAlignment="1">
      <alignment horizontal="right" vertical="center" wrapText="1"/>
    </xf>
    <xf numFmtId="4" fontId="38" fillId="20" borderId="11" xfId="48" applyNumberFormat="1" applyFont="1" applyFill="1" applyBorder="1" applyAlignment="1">
      <alignment horizontal="right" vertical="center" wrapText="1"/>
    </xf>
    <xf numFmtId="4" fontId="38" fillId="0" borderId="11" xfId="48" applyNumberFormat="1" applyFont="1" applyBorder="1" applyAlignment="1">
      <alignment horizontal="right" vertical="center" wrapText="1"/>
    </xf>
    <xf numFmtId="4" fontId="70" fillId="48" borderId="11" xfId="48" applyNumberFormat="1" applyFont="1" applyFill="1" applyBorder="1" applyAlignment="1">
      <alignment horizontal="right" vertical="center" wrapText="1"/>
    </xf>
    <xf numFmtId="4" fontId="40" fillId="4" borderId="11" xfId="48" applyNumberFormat="1" applyFont="1" applyFill="1" applyBorder="1" applyAlignment="1" applyProtection="1">
      <alignment horizontal="right" vertical="center" wrapText="1"/>
    </xf>
    <xf numFmtId="4" fontId="38" fillId="0" borderId="0" xfId="0" applyNumberFormat="1" applyFont="1"/>
    <xf numFmtId="170" fontId="40" fillId="20" borderId="11" xfId="0" applyNumberFormat="1" applyFont="1" applyFill="1" applyBorder="1" applyAlignment="1">
      <alignment horizontal="right" vertical="center" wrapText="1"/>
    </xf>
    <xf numFmtId="170" fontId="40" fillId="4" borderId="11" xfId="0" applyNumberFormat="1" applyFont="1" applyFill="1" applyBorder="1" applyAlignment="1">
      <alignment horizontal="right" vertical="center" wrapText="1"/>
    </xf>
    <xf numFmtId="4" fontId="70" fillId="33" borderId="11" xfId="48" applyNumberFormat="1" applyFont="1" applyFill="1" applyBorder="1" applyAlignment="1" applyProtection="1">
      <alignment horizontal="right" vertical="center" wrapText="1"/>
    </xf>
    <xf numFmtId="4" fontId="72" fillId="0" borderId="0" xfId="0" applyNumberFormat="1" applyFont="1" applyFill="1" applyBorder="1"/>
    <xf numFmtId="4" fontId="37" fillId="6" borderId="19" xfId="0" applyNumberFormat="1" applyFont="1" applyFill="1" applyBorder="1" applyAlignment="1">
      <alignment horizontal="center" vertical="center" wrapText="1" shrinkToFit="1"/>
    </xf>
    <xf numFmtId="4" fontId="37" fillId="25" borderId="18" xfId="29" applyNumberFormat="1" applyFont="1" applyFill="1" applyBorder="1" applyAlignment="1" applyProtection="1">
      <alignment horizontal="right" vertical="center" wrapText="1"/>
    </xf>
    <xf numFmtId="4" fontId="37" fillId="26" borderId="18" xfId="29" applyNumberFormat="1" applyFont="1" applyFill="1" applyBorder="1" applyAlignment="1" applyProtection="1">
      <alignment horizontal="right" vertical="center" wrapText="1"/>
    </xf>
    <xf numFmtId="4" fontId="37" fillId="27" borderId="18" xfId="29" applyNumberFormat="1" applyFont="1" applyFill="1" applyBorder="1" applyAlignment="1" applyProtection="1">
      <alignment horizontal="right" vertical="center" wrapText="1"/>
    </xf>
    <xf numFmtId="4" fontId="37" fillId="22" borderId="18" xfId="29" applyNumberFormat="1" applyFont="1" applyFill="1" applyBorder="1" applyAlignment="1" applyProtection="1">
      <alignment horizontal="right" vertical="center" wrapText="1"/>
    </xf>
    <xf numFmtId="4" fontId="52" fillId="0" borderId="18" xfId="29" applyNumberFormat="1" applyFont="1" applyFill="1" applyBorder="1" applyAlignment="1" applyProtection="1">
      <alignment horizontal="right" vertical="center" wrapText="1"/>
    </xf>
    <xf numFmtId="4" fontId="37" fillId="28" borderId="18" xfId="29" applyNumberFormat="1" applyFont="1" applyFill="1" applyBorder="1" applyAlignment="1" applyProtection="1">
      <alignment horizontal="right" vertical="center" wrapText="1"/>
    </xf>
    <xf numFmtId="4" fontId="37" fillId="20" borderId="18" xfId="29" applyNumberFormat="1" applyFont="1" applyFill="1" applyBorder="1" applyAlignment="1" applyProtection="1">
      <alignment horizontal="right" vertical="center" wrapText="1"/>
    </xf>
    <xf numFmtId="4" fontId="37" fillId="28" borderId="18" xfId="0" applyNumberFormat="1" applyFont="1" applyFill="1" applyBorder="1" applyAlignment="1">
      <alignment horizontal="right" vertical="top" wrapText="1"/>
    </xf>
    <xf numFmtId="4" fontId="37" fillId="32" borderId="18" xfId="0" applyNumberFormat="1" applyFont="1" applyFill="1" applyBorder="1" applyAlignment="1">
      <alignment horizontal="right" vertical="center" wrapText="1"/>
    </xf>
    <xf numFmtId="4" fontId="39" fillId="30" borderId="0" xfId="0" applyNumberFormat="1" applyFont="1" applyFill="1" applyAlignment="1">
      <alignment horizontal="right"/>
    </xf>
    <xf numFmtId="4" fontId="37" fillId="25" borderId="25" xfId="29" applyNumberFormat="1" applyFont="1" applyFill="1" applyBorder="1" applyAlignment="1" applyProtection="1">
      <alignment horizontal="right" vertical="center" wrapText="1"/>
    </xf>
    <xf numFmtId="4" fontId="37" fillId="26" borderId="25" xfId="29" applyNumberFormat="1" applyFont="1" applyFill="1" applyBorder="1" applyAlignment="1" applyProtection="1">
      <alignment horizontal="right" vertical="center" wrapText="1"/>
    </xf>
    <xf numFmtId="4" fontId="37" fillId="27" borderId="25" xfId="29" applyNumberFormat="1" applyFont="1" applyFill="1" applyBorder="1" applyAlignment="1" applyProtection="1">
      <alignment horizontal="right" vertical="center" wrapText="1"/>
    </xf>
    <xf numFmtId="4" fontId="37" fillId="22" borderId="25" xfId="29" applyNumberFormat="1" applyFont="1" applyFill="1" applyBorder="1" applyAlignment="1" applyProtection="1">
      <alignment horizontal="right" vertical="center" wrapText="1"/>
    </xf>
    <xf numFmtId="4" fontId="52" fillId="0" borderId="25" xfId="29" applyNumberFormat="1" applyFont="1" applyFill="1" applyBorder="1" applyAlignment="1" applyProtection="1">
      <alignment horizontal="right" vertical="center" wrapText="1"/>
    </xf>
    <xf numFmtId="4" fontId="37" fillId="28" borderId="25" xfId="29" applyNumberFormat="1" applyFont="1" applyFill="1" applyBorder="1" applyAlignment="1" applyProtection="1">
      <alignment horizontal="right" vertical="center" wrapText="1"/>
    </xf>
    <xf numFmtId="4" fontId="37" fillId="20" borderId="25" xfId="29" applyNumberFormat="1" applyFont="1" applyFill="1" applyBorder="1" applyAlignment="1" applyProtection="1">
      <alignment horizontal="right" vertical="center" wrapText="1"/>
    </xf>
    <xf numFmtId="4" fontId="37" fillId="28" borderId="25" xfId="0" applyNumberFormat="1" applyFont="1" applyFill="1" applyBorder="1" applyAlignment="1">
      <alignment horizontal="right" vertical="top" wrapText="1"/>
    </xf>
    <xf numFmtId="4" fontId="37" fillId="32" borderId="25" xfId="0" applyNumberFormat="1" applyFont="1" applyFill="1" applyBorder="1" applyAlignment="1">
      <alignment horizontal="right" vertical="center" wrapText="1"/>
    </xf>
    <xf numFmtId="4" fontId="37" fillId="6" borderId="21" xfId="0" applyNumberFormat="1" applyFont="1" applyFill="1" applyBorder="1" applyAlignment="1">
      <alignment horizontal="center" vertical="center" wrapText="1"/>
    </xf>
    <xf numFmtId="4" fontId="37" fillId="25" borderId="18" xfId="48" applyNumberFormat="1" applyFont="1" applyFill="1" applyBorder="1" applyAlignment="1" applyProtection="1">
      <alignment horizontal="center" vertical="center" wrapText="1"/>
    </xf>
    <xf numFmtId="4" fontId="37" fillId="26" borderId="18" xfId="48" applyNumberFormat="1" applyFont="1" applyFill="1" applyBorder="1" applyAlignment="1">
      <alignment horizontal="center" vertical="center" wrapText="1"/>
    </xf>
    <xf numFmtId="4" fontId="37" fillId="27" borderId="18" xfId="48" applyNumberFormat="1" applyFont="1" applyFill="1" applyBorder="1" applyAlignment="1" applyProtection="1">
      <alignment horizontal="center" vertical="center" wrapText="1"/>
    </xf>
    <xf numFmtId="4" fontId="37" fillId="22" borderId="18" xfId="48" applyNumberFormat="1" applyFont="1" applyFill="1" applyBorder="1" applyAlignment="1" applyProtection="1">
      <alignment horizontal="center" vertical="center" wrapText="1"/>
    </xf>
    <xf numFmtId="4" fontId="52" fillId="0" borderId="18" xfId="48" applyNumberFormat="1" applyFont="1" applyFill="1" applyBorder="1" applyAlignment="1" applyProtection="1">
      <alignment horizontal="center" vertical="center" wrapText="1"/>
    </xf>
    <xf numFmtId="4" fontId="37" fillId="28" borderId="18" xfId="48" applyNumberFormat="1" applyFont="1" applyFill="1" applyBorder="1" applyAlignment="1" applyProtection="1">
      <alignment horizontal="center" vertical="center" wrapText="1"/>
    </xf>
    <xf numFmtId="4" fontId="37" fillId="20" borderId="18" xfId="48" applyNumberFormat="1" applyFont="1" applyFill="1" applyBorder="1" applyAlignment="1" applyProtection="1">
      <alignment horizontal="center" vertical="center" wrapText="1"/>
    </xf>
    <xf numFmtId="4" fontId="37" fillId="28" borderId="18" xfId="48" applyNumberFormat="1" applyFont="1" applyFill="1" applyBorder="1" applyAlignment="1">
      <alignment horizontal="center" vertical="top" wrapText="1"/>
    </xf>
    <xf numFmtId="4" fontId="37" fillId="34" borderId="18" xfId="48" applyNumberFormat="1" applyFont="1" applyFill="1" applyBorder="1" applyAlignment="1" applyProtection="1">
      <alignment horizontal="center" vertical="center" wrapText="1"/>
    </xf>
    <xf numFmtId="4" fontId="37" fillId="32" borderId="18" xfId="48" applyNumberFormat="1" applyFont="1" applyFill="1" applyBorder="1" applyAlignment="1">
      <alignment horizontal="center" vertical="center" wrapText="1"/>
    </xf>
    <xf numFmtId="4" fontId="39" fillId="30" borderId="0" xfId="0" applyNumberFormat="1" applyFont="1" applyFill="1" applyBorder="1"/>
    <xf numFmtId="0" fontId="52" fillId="0" borderId="18" xfId="48" applyNumberFormat="1" applyFont="1" applyFill="1" applyBorder="1" applyAlignment="1" applyProtection="1">
      <alignment horizontal="center" vertical="center" wrapText="1"/>
    </xf>
    <xf numFmtId="3" fontId="38" fillId="0" borderId="11" xfId="0" applyNumberFormat="1" applyFont="1" applyBorder="1" applyAlignment="1">
      <alignment horizontal="center" vertical="center" wrapText="1"/>
    </xf>
    <xf numFmtId="4" fontId="1" fillId="31" borderId="10" xfId="1" applyNumberFormat="1" applyFont="1" applyFill="1" applyBorder="1" applyAlignment="1">
      <alignment horizontal="center" vertical="center" wrapText="1"/>
    </xf>
    <xf numFmtId="4" fontId="2" fillId="0" borderId="10" xfId="29" applyNumberFormat="1" applyFont="1" applyFill="1" applyBorder="1" applyAlignment="1" applyProtection="1">
      <alignment horizontal="right" vertical="center"/>
    </xf>
    <xf numFmtId="4" fontId="1" fillId="0" borderId="10" xfId="29" applyNumberFormat="1" applyFont="1" applyFill="1" applyBorder="1" applyAlignment="1" applyProtection="1">
      <alignment horizontal="right" vertical="center"/>
    </xf>
    <xf numFmtId="4" fontId="2" fillId="0" borderId="10" xfId="29" applyNumberFormat="1" applyFont="1" applyFill="1" applyBorder="1" applyAlignment="1" applyProtection="1">
      <alignment horizontal="right" vertical="center" wrapText="1"/>
    </xf>
    <xf numFmtId="4" fontId="1" fillId="31" borderId="10" xfId="29" applyNumberFormat="1" applyFont="1" applyFill="1" applyBorder="1" applyAlignment="1" applyProtection="1">
      <alignment horizontal="right" vertical="center"/>
    </xf>
    <xf numFmtId="0" fontId="41" fillId="0" borderId="43" xfId="0" applyFont="1" applyBorder="1" applyAlignment="1">
      <alignment horizontal="center" vertical="center"/>
    </xf>
    <xf numFmtId="0" fontId="41" fillId="0" borderId="0" xfId="0" applyFont="1" applyBorder="1" applyAlignment="1">
      <alignment horizontal="center" vertical="center"/>
    </xf>
    <xf numFmtId="4" fontId="41" fillId="0" borderId="134" xfId="0" applyNumberFormat="1" applyFont="1" applyFill="1" applyBorder="1"/>
    <xf numFmtId="0" fontId="41" fillId="42" borderId="0" xfId="0" applyFont="1" applyFill="1" applyBorder="1"/>
    <xf numFmtId="4" fontId="41" fillId="0" borderId="60" xfId="0" applyNumberFormat="1" applyFont="1" applyFill="1" applyBorder="1" applyAlignment="1">
      <alignment vertical="top"/>
    </xf>
    <xf numFmtId="4" fontId="41" fillId="0" borderId="129" xfId="0" applyNumberFormat="1" applyFont="1" applyFill="1" applyBorder="1" applyAlignment="1">
      <alignment vertical="top"/>
    </xf>
    <xf numFmtId="165" fontId="38" fillId="29" borderId="11" xfId="29" applyNumberFormat="1" applyFont="1" applyFill="1" applyBorder="1" applyAlignment="1" applyProtection="1">
      <alignment horizontal="right" vertical="center" wrapText="1"/>
    </xf>
    <xf numFmtId="170" fontId="38" fillId="49" borderId="11" xfId="29" applyNumberFormat="1" applyFont="1" applyFill="1" applyBorder="1" applyAlignment="1" applyProtection="1">
      <alignment horizontal="right" vertical="center" wrapText="1"/>
    </xf>
    <xf numFmtId="165" fontId="70" fillId="33" borderId="11" xfId="29" applyNumberFormat="1" applyFont="1" applyFill="1" applyBorder="1" applyAlignment="1" applyProtection="1">
      <alignment horizontal="right" vertical="center" wrapText="1"/>
    </xf>
    <xf numFmtId="170" fontId="70" fillId="33" borderId="11" xfId="29" applyNumberFormat="1" applyFont="1" applyFill="1" applyBorder="1" applyAlignment="1" applyProtection="1">
      <alignment horizontal="right" vertical="center" wrapText="1"/>
    </xf>
    <xf numFmtId="0" fontId="41" fillId="0" borderId="60" xfId="0" applyFont="1" applyFill="1" applyBorder="1" applyAlignment="1">
      <alignment horizontal="center" vertical="center"/>
    </xf>
    <xf numFmtId="0" fontId="41" fillId="0" borderId="78" xfId="0" applyFont="1" applyFill="1" applyBorder="1" applyAlignment="1">
      <alignment horizontal="center" vertical="center"/>
    </xf>
    <xf numFmtId="0" fontId="41" fillId="45" borderId="0" xfId="0" applyFont="1" applyFill="1" applyBorder="1"/>
    <xf numFmtId="0" fontId="41" fillId="45" borderId="125" xfId="0" applyFont="1" applyFill="1" applyBorder="1" applyAlignment="1">
      <alignment horizontal="center" vertical="center"/>
    </xf>
    <xf numFmtId="3" fontId="35" fillId="45" borderId="128" xfId="0" applyNumberFormat="1" applyFont="1" applyFill="1" applyBorder="1" applyAlignment="1">
      <alignment horizontal="left" vertical="center" wrapText="1"/>
    </xf>
    <xf numFmtId="3" fontId="41" fillId="45" borderId="64" xfId="47" applyNumberFormat="1" applyFont="1" applyFill="1" applyBorder="1" applyAlignment="1">
      <alignment horizontal="right" vertical="center"/>
    </xf>
    <xf numFmtId="4" fontId="41" fillId="45" borderId="128" xfId="47" applyNumberFormat="1" applyFont="1" applyFill="1" applyBorder="1" applyAlignment="1">
      <alignment vertical="center"/>
    </xf>
    <xf numFmtId="4" fontId="41" fillId="45" borderId="12" xfId="47" applyNumberFormat="1" applyFont="1" applyFill="1" applyBorder="1" applyAlignment="1">
      <alignment vertical="center"/>
    </xf>
    <xf numFmtId="4" fontId="41" fillId="45" borderId="128" xfId="0" applyNumberFormat="1" applyFont="1" applyFill="1" applyBorder="1"/>
    <xf numFmtId="0" fontId="41" fillId="45" borderId="127" xfId="0" applyFont="1" applyFill="1" applyBorder="1" applyAlignment="1">
      <alignment horizontal="center" vertical="center"/>
    </xf>
    <xf numFmtId="0" fontId="41" fillId="45" borderId="129" xfId="0" applyFont="1" applyFill="1" applyBorder="1" applyAlignment="1">
      <alignment vertical="center" wrapText="1"/>
    </xf>
    <xf numFmtId="3" fontId="41" fillId="45" borderId="126" xfId="47" applyNumberFormat="1" applyFont="1" applyFill="1" applyBorder="1" applyAlignment="1">
      <alignment horizontal="right" vertical="center"/>
    </xf>
    <xf numFmtId="4" fontId="41" fillId="45" borderId="129" xfId="47" applyNumberFormat="1" applyFont="1" applyFill="1" applyBorder="1" applyAlignment="1">
      <alignment vertical="center"/>
    </xf>
    <xf numFmtId="4" fontId="41" fillId="45" borderId="0" xfId="47" applyNumberFormat="1" applyFont="1" applyFill="1" applyBorder="1" applyAlignment="1">
      <alignment vertical="center"/>
    </xf>
    <xf numFmtId="4" fontId="41" fillId="45" borderId="129" xfId="0" applyNumberFormat="1" applyFont="1" applyFill="1" applyBorder="1"/>
    <xf numFmtId="0" fontId="41" fillId="45" borderId="66" xfId="0" applyFont="1" applyFill="1" applyBorder="1" applyAlignment="1">
      <alignment horizontal="center" vertical="center"/>
    </xf>
    <xf numFmtId="3" fontId="35" fillId="45" borderId="60" xfId="0" applyNumberFormat="1" applyFont="1" applyFill="1" applyBorder="1" applyAlignment="1">
      <alignment horizontal="left" vertical="center" wrapText="1"/>
    </xf>
    <xf numFmtId="3" fontId="41" fillId="45" borderId="63" xfId="47" applyNumberFormat="1" applyFont="1" applyFill="1" applyBorder="1" applyAlignment="1">
      <alignment horizontal="right" vertical="center"/>
    </xf>
    <xf numFmtId="4" fontId="41" fillId="45" borderId="60" xfId="47" applyNumberFormat="1" applyFont="1" applyFill="1" applyBorder="1" applyAlignment="1">
      <alignment vertical="center"/>
    </xf>
    <xf numFmtId="4" fontId="41" fillId="45" borderId="63" xfId="47" applyNumberFormat="1" applyFont="1" applyFill="1" applyBorder="1" applyAlignment="1">
      <alignment vertical="center"/>
    </xf>
    <xf numFmtId="4" fontId="41" fillId="45" borderId="60" xfId="0" applyNumberFormat="1" applyFont="1" applyFill="1" applyBorder="1"/>
    <xf numFmtId="0" fontId="41" fillId="45" borderId="73" xfId="0" applyFont="1" applyFill="1" applyBorder="1" applyAlignment="1">
      <alignment horizontal="center" vertical="center"/>
    </xf>
    <xf numFmtId="3" fontId="41" fillId="45" borderId="12" xfId="47" applyNumberFormat="1" applyFont="1" applyFill="1" applyBorder="1" applyAlignment="1">
      <alignment horizontal="right" vertical="center"/>
    </xf>
    <xf numFmtId="4" fontId="41" fillId="45" borderId="74" xfId="47" applyNumberFormat="1" applyFont="1" applyFill="1" applyBorder="1" applyAlignment="1">
      <alignment vertical="center"/>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3" fontId="1" fillId="31" borderId="10" xfId="1" applyNumberFormat="1" applyFont="1" applyFill="1" applyBorder="1" applyAlignment="1">
      <alignment horizontal="left" vertical="center" wrapText="1"/>
    </xf>
    <xf numFmtId="168" fontId="37" fillId="6" borderId="26" xfId="0" applyNumberFormat="1" applyFont="1" applyFill="1" applyBorder="1" applyAlignment="1">
      <alignment horizontal="center" vertical="center" wrapText="1" shrinkToFit="1"/>
    </xf>
    <xf numFmtId="168" fontId="37" fillId="6" borderId="12" xfId="0" applyNumberFormat="1" applyFont="1" applyFill="1" applyBorder="1" applyAlignment="1">
      <alignment horizontal="center" vertical="center" wrapText="1" shrinkToFit="1"/>
    </xf>
    <xf numFmtId="168" fontId="37" fillId="6" borderId="22" xfId="0" applyNumberFormat="1" applyFont="1" applyFill="1" applyBorder="1" applyAlignment="1">
      <alignment horizontal="center" vertical="center" wrapText="1" shrinkToFit="1"/>
    </xf>
    <xf numFmtId="4" fontId="37" fillId="6" borderId="21" xfId="0" applyNumberFormat="1" applyFont="1" applyFill="1" applyBorder="1" applyAlignment="1">
      <alignment horizontal="center" vertical="center" wrapText="1" shrinkToFit="1"/>
    </xf>
    <xf numFmtId="4" fontId="37" fillId="6" borderId="19" xfId="0" applyNumberFormat="1" applyFont="1" applyFill="1" applyBorder="1" applyAlignment="1">
      <alignment horizontal="center" vertical="center" wrapText="1" shrinkToFit="1"/>
    </xf>
    <xf numFmtId="49" fontId="37" fillId="6" borderId="17" xfId="0" applyNumberFormat="1" applyFont="1" applyFill="1" applyBorder="1" applyAlignment="1">
      <alignment horizontal="center" vertical="center" wrapText="1"/>
    </xf>
    <xf numFmtId="49" fontId="37" fillId="6" borderId="18" xfId="0" applyNumberFormat="1" applyFont="1" applyFill="1" applyBorder="1" applyAlignment="1">
      <alignment horizontal="center" vertical="center" wrapText="1"/>
    </xf>
    <xf numFmtId="0" fontId="62" fillId="0" borderId="21" xfId="0" applyFont="1" applyBorder="1" applyAlignment="1">
      <alignment horizontal="center" vertical="center" wrapText="1"/>
    </xf>
    <xf numFmtId="0" fontId="62" fillId="0" borderId="53" xfId="0" applyFont="1" applyBorder="1" applyAlignment="1">
      <alignment horizontal="center" vertical="center" wrapText="1"/>
    </xf>
    <xf numFmtId="49" fontId="37"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3" xfId="0" applyFont="1" applyBorder="1" applyAlignment="1">
      <alignment horizontal="center" vertical="center" wrapText="1"/>
    </xf>
    <xf numFmtId="49" fontId="50" fillId="0" borderId="11" xfId="0" applyNumberFormat="1" applyFont="1" applyBorder="1" applyAlignment="1">
      <alignment horizontal="center"/>
    </xf>
    <xf numFmtId="0" fontId="51" fillId="46" borderId="58" xfId="0" applyFont="1" applyFill="1" applyBorder="1" applyAlignment="1">
      <alignment horizontal="center"/>
    </xf>
    <xf numFmtId="0" fontId="51" fillId="46" borderId="59" xfId="0" applyFont="1" applyFill="1" applyBorder="1" applyAlignment="1">
      <alignment horizontal="center"/>
    </xf>
    <xf numFmtId="165" fontId="50" fillId="0" borderId="58" xfId="0" applyNumberFormat="1" applyFont="1" applyBorder="1" applyAlignment="1">
      <alignment horizontal="center" wrapText="1"/>
    </xf>
    <xf numFmtId="165" fontId="50" fillId="0" borderId="64" xfId="0" applyNumberFormat="1" applyFont="1" applyBorder="1" applyAlignment="1">
      <alignment horizontal="center" wrapText="1"/>
    </xf>
    <xf numFmtId="165" fontId="50" fillId="0" borderId="59" xfId="0" applyNumberFormat="1" applyFont="1" applyBorder="1" applyAlignment="1">
      <alignment horizontal="center" wrapText="1"/>
    </xf>
    <xf numFmtId="49" fontId="40" fillId="0" borderId="0" xfId="0" applyNumberFormat="1" applyFont="1" applyBorder="1" applyAlignment="1">
      <alignment horizontal="center" vertical="center" wrapText="1"/>
    </xf>
    <xf numFmtId="4" fontId="37" fillId="6" borderId="11" xfId="1" applyNumberFormat="1" applyFont="1" applyFill="1" applyBorder="1" applyAlignment="1">
      <alignment horizontal="center" vertical="center" wrapText="1"/>
    </xf>
    <xf numFmtId="4" fontId="37" fillId="6" borderId="11" xfId="47" applyNumberFormat="1" applyFont="1" applyFill="1" applyBorder="1" applyAlignment="1">
      <alignment horizontal="center" vertical="center" wrapText="1"/>
    </xf>
    <xf numFmtId="0" fontId="37" fillId="6" borderId="11" xfId="1" applyFont="1" applyFill="1" applyBorder="1" applyAlignment="1">
      <alignment horizontal="center" vertical="center" wrapText="1"/>
    </xf>
    <xf numFmtId="49" fontId="39" fillId="0" borderId="12" xfId="1" applyNumberFormat="1" applyFont="1" applyBorder="1" applyAlignment="1">
      <alignment horizontal="center" vertical="center" wrapText="1"/>
    </xf>
    <xf numFmtId="0" fontId="37" fillId="6" borderId="13" xfId="1" applyFont="1" applyFill="1" applyBorder="1" applyAlignment="1">
      <alignment horizontal="center" vertical="center" wrapText="1"/>
    </xf>
    <xf numFmtId="0" fontId="37" fillId="6" borderId="14" xfId="1" applyFont="1" applyFill="1" applyBorder="1" applyAlignment="1">
      <alignment horizontal="center" vertical="center" wrapText="1"/>
    </xf>
    <xf numFmtId="4" fontId="40" fillId="6" borderId="11" xfId="47" applyNumberFormat="1" applyFont="1" applyFill="1" applyBorder="1" applyAlignment="1">
      <alignment horizontal="center" vertical="center" wrapText="1"/>
    </xf>
    <xf numFmtId="49" fontId="39" fillId="0" borderId="0" xfId="0" applyNumberFormat="1" applyFont="1" applyBorder="1" applyAlignment="1">
      <alignment horizontal="center" vertical="center" wrapText="1"/>
    </xf>
    <xf numFmtId="0" fontId="41" fillId="0" borderId="0" xfId="0" applyFont="1" applyBorder="1" applyAlignment="1">
      <alignment horizontal="center" vertical="center"/>
    </xf>
    <xf numFmtId="0" fontId="41" fillId="0" borderId="44" xfId="0" applyFont="1" applyBorder="1" applyAlignment="1">
      <alignment horizontal="center" vertical="center"/>
    </xf>
    <xf numFmtId="4" fontId="42" fillId="0" borderId="33" xfId="47" applyNumberFormat="1" applyFont="1" applyFill="1" applyBorder="1" applyAlignment="1">
      <alignment horizontal="center" vertical="center"/>
    </xf>
    <xf numFmtId="4" fontId="41" fillId="0" borderId="33" xfId="47" applyNumberFormat="1" applyFont="1" applyBorder="1" applyAlignment="1">
      <alignment horizontal="center" vertical="center"/>
    </xf>
    <xf numFmtId="4" fontId="41" fillId="0" borderId="42" xfId="47" applyNumberFormat="1" applyFont="1" applyBorder="1" applyAlignment="1">
      <alignment horizontal="center" vertical="center"/>
    </xf>
    <xf numFmtId="0" fontId="42" fillId="40" borderId="46" xfId="0" applyFont="1" applyFill="1" applyBorder="1" applyAlignment="1">
      <alignment horizontal="left" vertical="center" wrapText="1"/>
    </xf>
    <xf numFmtId="0" fontId="42" fillId="40" borderId="48" xfId="0" applyFont="1" applyFill="1" applyBorder="1" applyAlignment="1">
      <alignment horizontal="left" vertical="center" wrapText="1"/>
    </xf>
    <xf numFmtId="4" fontId="41" fillId="29" borderId="20" xfId="47" applyNumberFormat="1" applyFont="1" applyFill="1" applyBorder="1" applyAlignment="1">
      <alignment horizontal="center" vertical="center"/>
    </xf>
    <xf numFmtId="4" fontId="41" fillId="29" borderId="45" xfId="47" applyNumberFormat="1" applyFont="1" applyFill="1" applyBorder="1" applyAlignment="1">
      <alignment horizontal="center" vertical="center"/>
    </xf>
    <xf numFmtId="0" fontId="41" fillId="0" borderId="0" xfId="0" applyFont="1" applyFill="1" applyBorder="1" applyAlignment="1">
      <alignment horizontal="center" vertical="center"/>
    </xf>
    <xf numFmtId="0" fontId="41" fillId="0" borderId="44" xfId="0" applyFont="1" applyFill="1" applyBorder="1" applyAlignment="1">
      <alignment horizontal="center" vertical="center"/>
    </xf>
    <xf numFmtId="4" fontId="41" fillId="0" borderId="0" xfId="47" applyNumberFormat="1" applyFont="1" applyBorder="1" applyAlignment="1">
      <alignment horizontal="center" vertical="center"/>
    </xf>
    <xf numFmtId="4" fontId="41" fillId="0" borderId="44" xfId="47" applyNumberFormat="1" applyFont="1" applyBorder="1" applyAlignment="1">
      <alignment horizontal="center" vertical="center"/>
    </xf>
    <xf numFmtId="4" fontId="58" fillId="0" borderId="33" xfId="47" applyNumberFormat="1" applyFont="1" applyFill="1" applyBorder="1" applyAlignment="1">
      <alignment horizontal="center" vertical="center"/>
    </xf>
    <xf numFmtId="4" fontId="41" fillId="29" borderId="33" xfId="47" applyNumberFormat="1" applyFont="1" applyFill="1" applyBorder="1" applyAlignment="1">
      <alignment horizontal="center" vertical="center"/>
    </xf>
    <xf numFmtId="4" fontId="41" fillId="29" borderId="42" xfId="47" applyNumberFormat="1" applyFont="1" applyFill="1" applyBorder="1" applyAlignment="1">
      <alignment horizontal="center" vertical="center"/>
    </xf>
    <xf numFmtId="0" fontId="42" fillId="40" borderId="51" xfId="0" applyFont="1" applyFill="1" applyBorder="1" applyAlignment="1">
      <alignment horizontal="left" vertical="center" wrapText="1"/>
    </xf>
    <xf numFmtId="0" fontId="42" fillId="40" borderId="45" xfId="0" applyFont="1" applyFill="1" applyBorder="1" applyAlignment="1">
      <alignment horizontal="left" vertical="center" wrapText="1"/>
    </xf>
    <xf numFmtId="0" fontId="42" fillId="35" borderId="51" xfId="0" applyFont="1" applyFill="1" applyBorder="1" applyAlignment="1">
      <alignment horizontal="left" vertical="center" wrapText="1"/>
    </xf>
    <xf numFmtId="0" fontId="42" fillId="35" borderId="45" xfId="0" applyFont="1" applyFill="1" applyBorder="1" applyAlignment="1">
      <alignment horizontal="left" vertical="center" wrapText="1"/>
    </xf>
    <xf numFmtId="4" fontId="41" fillId="0" borderId="20" xfId="47" applyNumberFormat="1" applyFont="1" applyFill="1" applyBorder="1" applyAlignment="1">
      <alignment horizontal="center" vertical="center"/>
    </xf>
    <xf numFmtId="4" fontId="41" fillId="0" borderId="45" xfId="47" applyNumberFormat="1" applyFont="1" applyFill="1" applyBorder="1" applyAlignment="1">
      <alignment horizontal="center" vertical="center"/>
    </xf>
    <xf numFmtId="4" fontId="41" fillId="0" borderId="20" xfId="47" applyNumberFormat="1" applyFont="1" applyBorder="1" applyAlignment="1">
      <alignment horizontal="center" vertical="center"/>
    </xf>
    <xf numFmtId="4" fontId="41" fillId="0" borderId="45" xfId="47" applyNumberFormat="1" applyFont="1" applyBorder="1" applyAlignment="1">
      <alignment horizontal="center" vertical="center"/>
    </xf>
    <xf numFmtId="3" fontId="41" fillId="0" borderId="20" xfId="47" applyNumberFormat="1" applyFont="1" applyBorder="1" applyAlignment="1">
      <alignment horizontal="center" vertical="center"/>
    </xf>
    <xf numFmtId="3" fontId="41" fillId="0" borderId="45" xfId="47" applyNumberFormat="1" applyFont="1" applyBorder="1" applyAlignment="1">
      <alignment horizontal="center" vertical="center"/>
    </xf>
    <xf numFmtId="4" fontId="42" fillId="30" borderId="20" xfId="47" applyNumberFormat="1" applyFont="1" applyFill="1" applyBorder="1" applyAlignment="1">
      <alignment horizontal="center" vertical="center"/>
    </xf>
    <xf numFmtId="4" fontId="42" fillId="30" borderId="45" xfId="47" applyNumberFormat="1" applyFont="1" applyFill="1" applyBorder="1" applyAlignment="1">
      <alignment horizontal="center" vertical="center"/>
    </xf>
    <xf numFmtId="4" fontId="42" fillId="0" borderId="20" xfId="47" applyNumberFormat="1" applyFont="1" applyFill="1" applyBorder="1" applyAlignment="1">
      <alignment horizontal="center" vertical="center"/>
    </xf>
    <xf numFmtId="4" fontId="42" fillId="0" borderId="45" xfId="47" applyNumberFormat="1" applyFont="1" applyFill="1" applyBorder="1" applyAlignment="1">
      <alignment horizontal="center" vertical="center"/>
    </xf>
    <xf numFmtId="4" fontId="36" fillId="37" borderId="49" xfId="47" applyNumberFormat="1" applyFont="1" applyFill="1" applyBorder="1" applyAlignment="1">
      <alignment horizontal="right" vertical="center"/>
    </xf>
    <xf numFmtId="4" fontId="36" fillId="37" borderId="52" xfId="47" applyNumberFormat="1" applyFont="1" applyFill="1" applyBorder="1" applyAlignment="1">
      <alignment horizontal="right" vertical="center"/>
    </xf>
    <xf numFmtId="4" fontId="36" fillId="37" borderId="50" xfId="47" applyNumberFormat="1" applyFont="1" applyFill="1" applyBorder="1" applyAlignment="1">
      <alignment horizontal="right" vertical="center"/>
    </xf>
    <xf numFmtId="0" fontId="42" fillId="40" borderId="51" xfId="0" applyFont="1" applyFill="1" applyBorder="1" applyAlignment="1">
      <alignment horizontal="left" vertical="center"/>
    </xf>
    <xf numFmtId="0" fontId="42" fillId="40" borderId="45" xfId="0" applyFont="1" applyFill="1" applyBorder="1" applyAlignment="1">
      <alignment horizontal="left" vertical="center"/>
    </xf>
    <xf numFmtId="0" fontId="42" fillId="40" borderId="46" xfId="0" applyFont="1" applyFill="1" applyBorder="1" applyAlignment="1">
      <alignment horizontal="left" vertical="center"/>
    </xf>
    <xf numFmtId="0" fontId="42" fillId="40" borderId="48" xfId="0" applyFont="1" applyFill="1" applyBorder="1" applyAlignment="1">
      <alignment horizontal="left" vertical="center"/>
    </xf>
    <xf numFmtId="0" fontId="42" fillId="43" borderId="51" xfId="0" applyFont="1" applyFill="1" applyBorder="1" applyAlignment="1">
      <alignment horizontal="left" vertical="center" wrapText="1"/>
    </xf>
    <xf numFmtId="0" fontId="42" fillId="43" borderId="45" xfId="0" applyFont="1" applyFill="1" applyBorder="1" applyAlignment="1">
      <alignment horizontal="left" vertical="center" wrapText="1"/>
    </xf>
    <xf numFmtId="0" fontId="42" fillId="37" borderId="51" xfId="0" applyFont="1" applyFill="1" applyBorder="1" applyAlignment="1">
      <alignment horizontal="left" vertical="center" wrapText="1"/>
    </xf>
    <xf numFmtId="0" fontId="42" fillId="37" borderId="45" xfId="0" applyFont="1" applyFill="1" applyBorder="1" applyAlignment="1">
      <alignment horizontal="left" vertical="center" wrapText="1"/>
    </xf>
    <xf numFmtId="0" fontId="42" fillId="35" borderId="20" xfId="0" applyFont="1" applyFill="1" applyBorder="1" applyAlignment="1">
      <alignment horizontal="left" vertical="center" wrapText="1"/>
    </xf>
    <xf numFmtId="0" fontId="42" fillId="40" borderId="20" xfId="0" applyFont="1" applyFill="1" applyBorder="1" applyAlignment="1">
      <alignment horizontal="left" vertical="center"/>
    </xf>
    <xf numFmtId="4" fontId="41" fillId="0" borderId="33" xfId="47" applyNumberFormat="1" applyFont="1" applyFill="1" applyBorder="1" applyAlignment="1">
      <alignment horizontal="center" vertical="center"/>
    </xf>
    <xf numFmtId="4" fontId="41" fillId="0" borderId="42" xfId="47" applyNumberFormat="1" applyFont="1" applyFill="1" applyBorder="1" applyAlignment="1">
      <alignment horizontal="center" vertical="center"/>
    </xf>
    <xf numFmtId="0" fontId="42" fillId="0" borderId="51"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0" xfId="0" applyFont="1" applyBorder="1" applyAlignment="1">
      <alignment horizontal="center" vertical="center"/>
    </xf>
    <xf numFmtId="0" fontId="42" fillId="0" borderId="44" xfId="0" applyFont="1" applyBorder="1" applyAlignment="1">
      <alignment horizontal="center" vertical="center"/>
    </xf>
    <xf numFmtId="4" fontId="42" fillId="0" borderId="33" xfId="47" applyNumberFormat="1" applyFont="1" applyBorder="1" applyAlignment="1">
      <alignment horizontal="center" vertical="center"/>
    </xf>
    <xf numFmtId="4" fontId="42" fillId="0" borderId="42" xfId="47" applyNumberFormat="1" applyFont="1" applyBorder="1" applyAlignment="1">
      <alignment horizontal="center" vertical="center"/>
    </xf>
    <xf numFmtId="0" fontId="41" fillId="0" borderId="46" xfId="0" applyFont="1" applyBorder="1" applyAlignment="1">
      <alignment horizontal="left" vertical="center"/>
    </xf>
    <xf numFmtId="0" fontId="41" fillId="0" borderId="48" xfId="0" applyFont="1" applyBorder="1" applyAlignment="1">
      <alignment horizontal="left" vertical="center"/>
    </xf>
    <xf numFmtId="0" fontId="41" fillId="0" borderId="43" xfId="0" applyFont="1" applyBorder="1" applyAlignment="1">
      <alignment horizontal="left" vertical="center"/>
    </xf>
    <xf numFmtId="0" fontId="41" fillId="0" borderId="44" xfId="0" applyFont="1" applyBorder="1" applyAlignment="1">
      <alignment horizontal="left" vertical="center"/>
    </xf>
    <xf numFmtId="0" fontId="41" fillId="0" borderId="43" xfId="0" applyFont="1" applyBorder="1" applyAlignment="1">
      <alignment horizontal="left" vertical="center" wrapText="1"/>
    </xf>
    <xf numFmtId="0" fontId="41" fillId="0" borderId="44" xfId="0" applyFont="1" applyBorder="1" applyAlignment="1">
      <alignment horizontal="left" vertical="center" wrapText="1"/>
    </xf>
    <xf numFmtId="0" fontId="42" fillId="0" borderId="43" xfId="0" applyFont="1" applyBorder="1" applyAlignment="1">
      <alignment horizontal="center" vertical="center"/>
    </xf>
    <xf numFmtId="0" fontId="41" fillId="0" borderId="43" xfId="0" applyFont="1" applyBorder="1" applyAlignment="1">
      <alignment horizontal="center" vertical="center"/>
    </xf>
    <xf numFmtId="0" fontId="41" fillId="0" borderId="41" xfId="0" applyFont="1" applyBorder="1" applyAlignment="1">
      <alignment horizontal="left" vertical="center"/>
    </xf>
    <xf numFmtId="0" fontId="41" fillId="0" borderId="42" xfId="0" applyFont="1" applyBorder="1" applyAlignment="1">
      <alignment horizontal="left" vertical="center"/>
    </xf>
    <xf numFmtId="0" fontId="42" fillId="38" borderId="51" xfId="0" applyFont="1" applyFill="1" applyBorder="1" applyAlignment="1">
      <alignment horizontal="left" vertical="center" wrapText="1"/>
    </xf>
    <xf numFmtId="0" fontId="42" fillId="38" borderId="45" xfId="0" applyFont="1" applyFill="1" applyBorder="1" applyAlignment="1">
      <alignment horizontal="left" vertical="center" wrapText="1"/>
    </xf>
    <xf numFmtId="0" fontId="42" fillId="42" borderId="51" xfId="0" applyFont="1" applyFill="1" applyBorder="1" applyAlignment="1">
      <alignment horizontal="left" vertical="center" wrapText="1"/>
    </xf>
    <xf numFmtId="0" fontId="42" fillId="42" borderId="45" xfId="0" applyFont="1" applyFill="1" applyBorder="1" applyAlignment="1">
      <alignment horizontal="left" vertical="center" wrapText="1"/>
    </xf>
    <xf numFmtId="0" fontId="42" fillId="40" borderId="127" xfId="0" applyFont="1" applyFill="1" applyBorder="1" applyAlignment="1">
      <alignment horizontal="left" vertical="center" wrapText="1"/>
    </xf>
    <xf numFmtId="0" fontId="42" fillId="40" borderId="130" xfId="0" applyFont="1" applyFill="1" applyBorder="1" applyAlignment="1">
      <alignment horizontal="left" vertical="center" wrapText="1"/>
    </xf>
    <xf numFmtId="0" fontId="42" fillId="37" borderId="41" xfId="0" applyFont="1" applyFill="1" applyBorder="1" applyAlignment="1">
      <alignment horizontal="left" vertical="center" wrapText="1"/>
    </xf>
    <xf numFmtId="0" fontId="42" fillId="37" borderId="42" xfId="0" applyFont="1" applyFill="1" applyBorder="1" applyAlignment="1">
      <alignment horizontal="left" vertical="center" wrapText="1"/>
    </xf>
    <xf numFmtId="0" fontId="42" fillId="37" borderId="43" xfId="0" applyFont="1" applyFill="1" applyBorder="1" applyAlignment="1">
      <alignment horizontal="left" vertical="center" wrapText="1"/>
    </xf>
    <xf numFmtId="0" fontId="42" fillId="37" borderId="44" xfId="0" applyFont="1" applyFill="1" applyBorder="1" applyAlignment="1">
      <alignment horizontal="left" vertical="center" wrapText="1"/>
    </xf>
    <xf numFmtId="0" fontId="42" fillId="37" borderId="46" xfId="0" applyFont="1" applyFill="1" applyBorder="1" applyAlignment="1">
      <alignment horizontal="left" vertical="center" wrapText="1"/>
    </xf>
    <xf numFmtId="0" fontId="42" fillId="37" borderId="48" xfId="0" applyFont="1" applyFill="1" applyBorder="1" applyAlignment="1">
      <alignment horizontal="left" vertical="center" wrapText="1"/>
    </xf>
    <xf numFmtId="3" fontId="36" fillId="37" borderId="49" xfId="47" applyNumberFormat="1" applyFont="1" applyFill="1" applyBorder="1" applyAlignment="1">
      <alignment horizontal="right" vertical="center"/>
    </xf>
    <xf numFmtId="3" fontId="36" fillId="37" borderId="52" xfId="47" applyNumberFormat="1" applyFont="1" applyFill="1" applyBorder="1" applyAlignment="1">
      <alignment horizontal="right" vertical="center"/>
    </xf>
    <xf numFmtId="3" fontId="36" fillId="37" borderId="50" xfId="47" applyNumberFormat="1" applyFont="1" applyFill="1" applyBorder="1" applyAlignment="1">
      <alignment horizontal="right" vertical="center"/>
    </xf>
    <xf numFmtId="0" fontId="42" fillId="40" borderId="47" xfId="0" applyFont="1" applyFill="1" applyBorder="1" applyAlignment="1">
      <alignment horizontal="left" vertical="center"/>
    </xf>
    <xf numFmtId="0" fontId="42" fillId="40" borderId="116" xfId="0" applyFont="1" applyFill="1" applyBorder="1" applyAlignment="1">
      <alignment horizontal="left" vertical="center" wrapText="1"/>
    </xf>
    <xf numFmtId="0" fontId="42" fillId="40" borderId="115" xfId="0" applyFont="1" applyFill="1" applyBorder="1" applyAlignment="1">
      <alignment horizontal="left" vertical="center" wrapText="1"/>
    </xf>
    <xf numFmtId="3" fontId="41" fillId="0" borderId="49" xfId="47" applyNumberFormat="1" applyFont="1" applyBorder="1" applyAlignment="1">
      <alignment horizontal="center" vertical="center"/>
    </xf>
    <xf numFmtId="3" fontId="41" fillId="0" borderId="52" xfId="47" applyNumberFormat="1" applyFont="1" applyBorder="1" applyAlignment="1">
      <alignment horizontal="center" vertical="center"/>
    </xf>
    <xf numFmtId="3" fontId="41" fillId="0" borderId="50" xfId="47" applyNumberFormat="1" applyFont="1" applyBorder="1" applyAlignment="1">
      <alignment horizontal="center" vertical="center"/>
    </xf>
    <xf numFmtId="4" fontId="41" fillId="0" borderId="49" xfId="47" applyNumberFormat="1" applyFont="1" applyBorder="1" applyAlignment="1">
      <alignment horizontal="center" vertical="center"/>
    </xf>
    <xf numFmtId="4" fontId="41" fillId="0" borderId="52" xfId="47" applyNumberFormat="1" applyFont="1" applyBorder="1" applyAlignment="1">
      <alignment horizontal="center" vertical="center"/>
    </xf>
    <xf numFmtId="4" fontId="41" fillId="0" borderId="50" xfId="47" applyNumberFormat="1" applyFont="1" applyBorder="1" applyAlignment="1">
      <alignment horizontal="center" vertical="center"/>
    </xf>
    <xf numFmtId="4" fontId="41" fillId="0" borderId="41" xfId="47" applyNumberFormat="1" applyFont="1" applyBorder="1" applyAlignment="1">
      <alignment horizontal="center" vertical="center"/>
    </xf>
    <xf numFmtId="4" fontId="41" fillId="0" borderId="43" xfId="47" applyNumberFormat="1" applyFont="1" applyBorder="1" applyAlignment="1">
      <alignment horizontal="center" vertical="center"/>
    </xf>
    <xf numFmtId="4" fontId="41" fillId="0" borderId="46" xfId="47" applyNumberFormat="1" applyFont="1" applyBorder="1" applyAlignment="1">
      <alignment horizontal="center" vertical="center"/>
    </xf>
    <xf numFmtId="0" fontId="42" fillId="35" borderId="46" xfId="0" applyFont="1" applyFill="1" applyBorder="1" applyAlignment="1">
      <alignment horizontal="left" vertical="center" wrapText="1"/>
    </xf>
    <xf numFmtId="0" fontId="42" fillId="35" borderId="48" xfId="0" applyFont="1" applyFill="1" applyBorder="1" applyAlignment="1">
      <alignment horizontal="left" vertical="center" wrapText="1"/>
    </xf>
    <xf numFmtId="3" fontId="41" fillId="0" borderId="49" xfId="47" applyNumberFormat="1" applyFont="1" applyFill="1" applyBorder="1" applyAlignment="1">
      <alignment horizontal="center" vertical="center" wrapText="1"/>
    </xf>
    <xf numFmtId="3" fontId="41" fillId="0" borderId="52" xfId="47" applyNumberFormat="1" applyFont="1" applyFill="1" applyBorder="1" applyAlignment="1">
      <alignment horizontal="center" vertical="center" wrapText="1"/>
    </xf>
    <xf numFmtId="3" fontId="41" fillId="0" borderId="50" xfId="47" applyNumberFormat="1" applyFont="1" applyFill="1" applyBorder="1" applyAlignment="1">
      <alignment horizontal="center" vertical="center" wrapText="1"/>
    </xf>
    <xf numFmtId="4" fontId="41" fillId="0" borderId="49" xfId="47" applyNumberFormat="1" applyFont="1" applyFill="1" applyBorder="1" applyAlignment="1">
      <alignment horizontal="center" vertical="center" wrapText="1"/>
    </xf>
    <xf numFmtId="4" fontId="41" fillId="0" borderId="52" xfId="47" applyNumberFormat="1" applyFont="1" applyFill="1" applyBorder="1" applyAlignment="1">
      <alignment horizontal="center" vertical="center" wrapText="1"/>
    </xf>
    <xf numFmtId="4" fontId="41" fillId="0" borderId="50" xfId="47" applyNumberFormat="1" applyFont="1" applyFill="1" applyBorder="1" applyAlignment="1">
      <alignment horizontal="center" vertical="center" wrapText="1"/>
    </xf>
    <xf numFmtId="0" fontId="42" fillId="36" borderId="51" xfId="0" applyFont="1" applyFill="1" applyBorder="1" applyAlignment="1">
      <alignment horizontal="left" vertical="center" wrapText="1"/>
    </xf>
    <xf numFmtId="0" fontId="42" fillId="36" borderId="45" xfId="0" applyFont="1" applyFill="1" applyBorder="1" applyAlignment="1">
      <alignment horizontal="left" vertical="center" wrapText="1"/>
    </xf>
    <xf numFmtId="0" fontId="42" fillId="37" borderId="51" xfId="0" applyFont="1" applyFill="1" applyBorder="1" applyAlignment="1">
      <alignment horizontal="center" vertical="center" wrapText="1"/>
    </xf>
    <xf numFmtId="0" fontId="42" fillId="37" borderId="45" xfId="0" applyFont="1" applyFill="1" applyBorder="1" applyAlignment="1">
      <alignment horizontal="center" vertical="center" wrapText="1"/>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4" fontId="41" fillId="0" borderId="0" xfId="0" applyNumberFormat="1" applyFont="1" applyFill="1"/>
    <xf numFmtId="4" fontId="41" fillId="0" borderId="0" xfId="0" applyNumberFormat="1" applyFont="1" applyFill="1" applyAlignment="1">
      <alignment wrapText="1"/>
    </xf>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E41AA1"/>
      <color rgb="FFFF5050"/>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299308"/>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нам.'!$A$84:$B$84)</c:f>
              <c:multiLvlStrCache>
                <c:ptCount val="9"/>
                <c:lvl>
                  <c:pt idx="0">
                    <c:v>РАСХОДИ ЗА ЗАПОСЛЕНЕ</c:v>
                  </c:pt>
                  <c:pt idx="1">
                    <c:v>КОРИШЋЕЊЕ УСЛУГА И РОБА</c:v>
                  </c:pt>
                  <c:pt idx="2">
                    <c:v>СУБВЕНЦИЈЕ</c:v>
                  </c:pt>
                  <c:pt idx="3">
                    <c:v>ДОНАЦИЈЕ И ТРАНСФЕРИ</c:v>
                  </c:pt>
                  <c:pt idx="4">
                    <c:v>СОЦИЈАЛНА ПОМОЋ</c:v>
                  </c:pt>
                  <c:pt idx="5">
                    <c:v>ОСТАЛИ РАСХОДИ</c:v>
                  </c:pt>
                  <c:pt idx="6">
                    <c:v>АДМИНИСТРАТИВНИ ТРАНСФЕРИ БУЏЕТА</c:v>
                  </c:pt>
                  <c:pt idx="7">
                    <c:v>ОСНОВНА СРЕДСТВА</c:v>
                  </c:pt>
                  <c:pt idx="8">
                    <c:v>ПРИРОДНА ИМОВИНА</c:v>
                  </c:pt>
                </c:lvl>
                <c:lvl>
                  <c:pt idx="0">
                    <c:v>410</c:v>
                  </c:pt>
                  <c:pt idx="1">
                    <c:v>420</c:v>
                  </c:pt>
                  <c:pt idx="2">
                    <c:v>450</c:v>
                  </c:pt>
                  <c:pt idx="3">
                    <c:v>460</c:v>
                  </c:pt>
                  <c:pt idx="4">
                    <c:v>470</c:v>
                  </c:pt>
                  <c:pt idx="5">
                    <c:v>480</c:v>
                  </c:pt>
                  <c:pt idx="6">
                    <c:v>490</c:v>
                  </c:pt>
                  <c:pt idx="7">
                    <c:v>510</c:v>
                  </c:pt>
                  <c:pt idx="8">
                    <c:v>540</c:v>
                  </c:pt>
                </c:lvl>
              </c:multiLvlStrCache>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нам.'!$C$84)</c:f>
              <c:numCache>
                <c:formatCode>_-* #,##0\ _d_i_n_._-;\-* #,##0\ _d_i_n_._-;_-* "-"\ _d_i_n_._-;_-@_-</c:formatCode>
                <c:ptCount val="9"/>
                <c:pt idx="0">
                  <c:v>130680000</c:v>
                </c:pt>
                <c:pt idx="1">
                  <c:v>230440000</c:v>
                </c:pt>
                <c:pt idx="2">
                  <c:v>25450000</c:v>
                </c:pt>
                <c:pt idx="3">
                  <c:v>96850000</c:v>
                </c:pt>
                <c:pt idx="4">
                  <c:v>10300000</c:v>
                </c:pt>
                <c:pt idx="5">
                  <c:v>62170359</c:v>
                </c:pt>
                <c:pt idx="6">
                  <c:v>23997641</c:v>
                </c:pt>
                <c:pt idx="7">
                  <c:v>227302000</c:v>
                </c:pt>
                <c:pt idx="8">
                  <c:v>7000000</c:v>
                </c:pt>
              </c:numCache>
            </c:numRef>
          </c:val>
        </c:ser>
        <c:dLbls>
          <c:showVal val="1"/>
        </c:dLbls>
        <c:firstSliceAng val="0"/>
      </c:pieChart>
    </c:plotArea>
    <c:legend>
      <c:legendPos val="r"/>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079E-2"/>
        </c:manualLayout>
      </c:layout>
      <c:overlay val="1"/>
    </c:title>
    <c:plotArea>
      <c:layout>
        <c:manualLayout>
          <c:layoutTarget val="inner"/>
          <c:xMode val="edge"/>
          <c:yMode val="edge"/>
          <c:x val="0.18287573282311673"/>
          <c:y val="0.33976797903991818"/>
          <c:w val="0.43954460715778676"/>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3463"/>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89539"/>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123"/>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5036E-2"/>
                </c:manualLayout>
              </c:layout>
              <c:dLblPos val="bestFit"/>
              <c:showCatName val="1"/>
              <c:showPercent val="1"/>
            </c:dLbl>
            <c:dLbl>
              <c:idx val="11"/>
              <c:layout>
                <c:manualLayout>
                  <c:x val="0.20404984423676994"/>
                  <c:y val="0.11009172544620865"/>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5666E-2"/>
                </c:manualLayout>
              </c:layout>
              <c:dLblPos val="bestFit"/>
              <c:showCatName val="1"/>
              <c:showPercent val="1"/>
            </c:dLbl>
            <c:dLbl>
              <c:idx val="14"/>
              <c:layout>
                <c:manualLayout>
                  <c:x val="-1.401869158878505E-2"/>
                  <c:y val="7.9510690600039208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7000000</c:v>
                </c:pt>
                <c:pt idx="1">
                  <c:v>105870000</c:v>
                </c:pt>
                <c:pt idx="2">
                  <c:v>22540000</c:v>
                </c:pt>
                <c:pt idx="3">
                  <c:v>10350000</c:v>
                </c:pt>
                <c:pt idx="4">
                  <c:v>28800000</c:v>
                </c:pt>
                <c:pt idx="5">
                  <c:v>37430000</c:v>
                </c:pt>
                <c:pt idx="6">
                  <c:v>105900000</c:v>
                </c:pt>
                <c:pt idx="7">
                  <c:v>73400000</c:v>
                </c:pt>
                <c:pt idx="8">
                  <c:v>65200000</c:v>
                </c:pt>
                <c:pt idx="9">
                  <c:v>21500000</c:v>
                </c:pt>
                <c:pt idx="10">
                  <c:v>60650000</c:v>
                </c:pt>
                <c:pt idx="11">
                  <c:v>9000000</c:v>
                </c:pt>
                <c:pt idx="12">
                  <c:v>31100000</c:v>
                </c:pt>
                <c:pt idx="13">
                  <c:v>79882359</c:v>
                </c:pt>
                <c:pt idx="14">
                  <c:v>154897641</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#,##0.00</c:formatCode>
                <c:ptCount val="9"/>
                <c:pt idx="0">
                  <c:v>60650000</c:v>
                </c:pt>
                <c:pt idx="1">
                  <c:v>179767641</c:v>
                </c:pt>
                <c:pt idx="2">
                  <c:v>2700000</c:v>
                </c:pt>
                <c:pt idx="3">
                  <c:v>145050000</c:v>
                </c:pt>
                <c:pt idx="4">
                  <c:v>83750000</c:v>
                </c:pt>
                <c:pt idx="5">
                  <c:v>82090000</c:v>
                </c:pt>
                <c:pt idx="6">
                  <c:v>9000000</c:v>
                </c:pt>
                <c:pt idx="7">
                  <c:v>110982359</c:v>
                </c:pt>
                <c:pt idx="8">
                  <c:v>160100000</c:v>
                </c:pt>
              </c:numCache>
            </c:numRef>
          </c:val>
        </c:ser>
        <c:dLbls>
          <c:showVal val="1"/>
        </c:dLbls>
        <c:firstSliceAng val="0"/>
      </c:pieChart>
    </c:plotArea>
    <c:legend>
      <c:legendPos val="r"/>
      <c:layout>
        <c:manualLayout>
          <c:xMode val="edge"/>
          <c:yMode val="edge"/>
          <c:x val="0.6623343832020997"/>
          <c:y val="0.29888806299217036"/>
          <c:w val="0.32433228346459841"/>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91</xdr:row>
      <xdr:rowOff>133348</xdr:rowOff>
    </xdr:from>
    <xdr:to>
      <xdr:col>6</xdr:col>
      <xdr:colOff>57151</xdr:colOff>
      <xdr:row>123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1</xdr:row>
      <xdr:rowOff>276224</xdr:rowOff>
    </xdr:from>
    <xdr:to>
      <xdr:col>17</xdr:col>
      <xdr:colOff>409575</xdr:colOff>
      <xdr:row>35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topLeftCell="A7" workbookViewId="0">
      <selection activeCell="I9" sqref="I9:I14"/>
    </sheetView>
  </sheetViews>
  <sheetFormatPr defaultRowHeight="15"/>
  <cols>
    <col min="7" max="7" width="12.85546875" customWidth="1"/>
    <col min="8" max="8" width="26.85546875" customWidth="1"/>
    <col min="9" max="9" width="20" style="792" customWidth="1"/>
  </cols>
  <sheetData>
    <row r="2" spans="1:9" ht="31.5">
      <c r="A2" s="221" t="s">
        <v>0</v>
      </c>
      <c r="B2" s="1203" t="s">
        <v>1</v>
      </c>
      <c r="C2" s="1203"/>
      <c r="D2" s="1203"/>
      <c r="E2" s="1203"/>
      <c r="F2" s="1203"/>
      <c r="G2" s="1203"/>
      <c r="H2" s="222" t="s">
        <v>2</v>
      </c>
      <c r="I2" s="1162" t="s">
        <v>3</v>
      </c>
    </row>
    <row r="3" spans="1:9" ht="30" customHeight="1">
      <c r="A3" s="3" t="s">
        <v>16</v>
      </c>
      <c r="B3" s="1201" t="s">
        <v>4</v>
      </c>
      <c r="C3" s="1201"/>
      <c r="D3" s="1201"/>
      <c r="E3" s="1201"/>
      <c r="F3" s="1201"/>
      <c r="G3" s="1201"/>
      <c r="H3" s="4" t="s">
        <v>5</v>
      </c>
      <c r="I3" s="1163">
        <f>'Општи део - (6)'!G3+'Општи део - (6)'!G4+'Општи део - (6)'!G92</f>
        <v>529135817.18000007</v>
      </c>
    </row>
    <row r="4" spans="1:9" ht="30" customHeight="1">
      <c r="A4" s="3" t="s">
        <v>17</v>
      </c>
      <c r="B4" s="1201" t="s">
        <v>6</v>
      </c>
      <c r="C4" s="1201"/>
      <c r="D4" s="1201"/>
      <c r="E4" s="1201"/>
      <c r="F4" s="1201"/>
      <c r="G4" s="1201"/>
      <c r="H4" s="4" t="s">
        <v>7</v>
      </c>
      <c r="I4" s="1163">
        <f>'По основ. нам.'!E5+'По основ. нам.'!E62</f>
        <v>402561011.67000002</v>
      </c>
    </row>
    <row r="5" spans="1:9" ht="30" customHeight="1">
      <c r="A5" s="2" t="s">
        <v>18</v>
      </c>
      <c r="B5" s="1202" t="s">
        <v>4711</v>
      </c>
      <c r="C5" s="1202"/>
      <c r="D5" s="1202"/>
      <c r="E5" s="1202"/>
      <c r="F5" s="1202"/>
      <c r="G5" s="1202"/>
      <c r="H5" s="5" t="s">
        <v>8</v>
      </c>
      <c r="I5" s="1164">
        <f>I3-I4</f>
        <v>126574805.51000005</v>
      </c>
    </row>
    <row r="6" spans="1:9" ht="30" customHeight="1">
      <c r="A6" s="3" t="s">
        <v>19</v>
      </c>
      <c r="B6" s="1201" t="s">
        <v>20</v>
      </c>
      <c r="C6" s="1201"/>
      <c r="D6" s="1201"/>
      <c r="E6" s="1201"/>
      <c r="F6" s="1201"/>
      <c r="G6" s="1201"/>
      <c r="H6" s="6">
        <v>62</v>
      </c>
      <c r="I6" s="1165">
        <f>'По основ. нам.'!C84</f>
        <v>0</v>
      </c>
    </row>
    <row r="7" spans="1:9" ht="30" customHeight="1">
      <c r="A7" s="2" t="s">
        <v>21</v>
      </c>
      <c r="B7" s="1202" t="s">
        <v>4712</v>
      </c>
      <c r="C7" s="1202"/>
      <c r="D7" s="1202"/>
      <c r="E7" s="1202"/>
      <c r="F7" s="1202"/>
      <c r="G7" s="1202"/>
      <c r="H7" s="5" t="s">
        <v>9</v>
      </c>
      <c r="I7" s="1164">
        <f>I5-I6</f>
        <v>126574805.51000005</v>
      </c>
    </row>
    <row r="8" spans="1:9" ht="30" customHeight="1">
      <c r="A8" s="221" t="s">
        <v>10</v>
      </c>
      <c r="B8" s="1204" t="s">
        <v>11</v>
      </c>
      <c r="C8" s="1204"/>
      <c r="D8" s="1204"/>
      <c r="E8" s="1204"/>
      <c r="F8" s="1204"/>
      <c r="G8" s="1204"/>
      <c r="H8" s="1204"/>
      <c r="I8" s="1204"/>
    </row>
    <row r="9" spans="1:9" ht="30" customHeight="1">
      <c r="A9" s="3" t="s">
        <v>16</v>
      </c>
      <c r="B9" s="1201" t="s">
        <v>12</v>
      </c>
      <c r="C9" s="1201"/>
      <c r="D9" s="1201"/>
      <c r="E9" s="1201"/>
      <c r="F9" s="1201"/>
      <c r="G9" s="1201"/>
      <c r="H9" s="4">
        <v>91</v>
      </c>
      <c r="I9" s="1163">
        <f>'Општи део - (6)'!D99</f>
        <v>0</v>
      </c>
    </row>
    <row r="10" spans="1:9" ht="30" customHeight="1">
      <c r="A10" s="3" t="s">
        <v>17</v>
      </c>
      <c r="B10" s="1201" t="s">
        <v>13</v>
      </c>
      <c r="C10" s="1201"/>
      <c r="D10" s="1201"/>
      <c r="E10" s="1201"/>
      <c r="F10" s="1201"/>
      <c r="G10" s="1201"/>
      <c r="H10" s="4">
        <v>92</v>
      </c>
      <c r="I10" s="1163">
        <f>'Општи део - (6)'!D102</f>
        <v>0</v>
      </c>
    </row>
    <row r="11" spans="1:9" ht="30" customHeight="1">
      <c r="A11" s="3" t="s">
        <v>18</v>
      </c>
      <c r="B11" s="1201" t="s">
        <v>20</v>
      </c>
      <c r="C11" s="1201"/>
      <c r="D11" s="1201"/>
      <c r="E11" s="1201"/>
      <c r="F11" s="1201"/>
      <c r="G11" s="1201"/>
      <c r="H11" s="4">
        <v>6211</v>
      </c>
      <c r="I11" s="1163">
        <f>'По основ. нам.'!E86</f>
        <v>3995119.49</v>
      </c>
    </row>
    <row r="12" spans="1:9" ht="30" customHeight="1">
      <c r="A12" s="3" t="s">
        <v>19</v>
      </c>
      <c r="B12" s="1201" t="s">
        <v>14</v>
      </c>
      <c r="C12" s="1201"/>
      <c r="D12" s="1201"/>
      <c r="E12" s="1201"/>
      <c r="F12" s="1201"/>
      <c r="G12" s="1201"/>
      <c r="H12" s="4">
        <v>61</v>
      </c>
      <c r="I12" s="1163">
        <f>'По основ. нам.'!C80</f>
        <v>0</v>
      </c>
    </row>
    <row r="13" spans="1:9" ht="30" customHeight="1">
      <c r="A13" s="2" t="s">
        <v>21</v>
      </c>
      <c r="B13" s="1202" t="s">
        <v>15</v>
      </c>
      <c r="C13" s="1202"/>
      <c r="D13" s="1202"/>
      <c r="E13" s="1202"/>
      <c r="F13" s="1202"/>
      <c r="G13" s="1202"/>
      <c r="H13" s="5" t="s">
        <v>4316</v>
      </c>
      <c r="I13" s="1164">
        <f>I9+I10-I11-I12</f>
        <v>-3995119.49</v>
      </c>
    </row>
    <row r="14" spans="1:9" ht="30" customHeight="1">
      <c r="A14" s="2" t="s">
        <v>22</v>
      </c>
      <c r="B14" s="1202" t="s">
        <v>4713</v>
      </c>
      <c r="C14" s="1202"/>
      <c r="D14" s="1202"/>
      <c r="E14" s="1202"/>
      <c r="F14" s="1202"/>
      <c r="G14" s="1202"/>
      <c r="H14" s="1" t="s">
        <v>4317</v>
      </c>
      <c r="I14" s="1164">
        <f>I7+I13</f>
        <v>122579686.02000006</v>
      </c>
    </row>
    <row r="15" spans="1:9" ht="30.75" customHeight="1">
      <c r="A15" s="221"/>
      <c r="B15" s="1204"/>
      <c r="C15" s="1204"/>
      <c r="D15" s="1204"/>
      <c r="E15" s="1204"/>
      <c r="F15" s="1204"/>
      <c r="G15" s="1204"/>
      <c r="H15" s="223"/>
      <c r="I15" s="1166"/>
    </row>
  </sheetData>
  <mergeCells count="14">
    <mergeCell ref="B8:I8"/>
    <mergeCell ref="B9:G9"/>
    <mergeCell ref="B14:G14"/>
    <mergeCell ref="B15:G15"/>
    <mergeCell ref="B10:G10"/>
    <mergeCell ref="B11:G11"/>
    <mergeCell ref="B12:G12"/>
    <mergeCell ref="B13:G13"/>
    <mergeCell ref="B6:G6"/>
    <mergeCell ref="B7:G7"/>
    <mergeCell ref="B2:G2"/>
    <mergeCell ref="B3:G3"/>
    <mergeCell ref="B4:G4"/>
    <mergeCell ref="B5:G5"/>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
  <sheetViews>
    <sheetView tabSelected="1" workbookViewId="0">
      <selection activeCell="H8" sqref="H8"/>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5" t="s">
        <v>23</v>
      </c>
      <c r="B1" s="16" t="s">
        <v>24</v>
      </c>
      <c r="C1" s="16" t="s">
        <v>25</v>
      </c>
      <c r="D1" s="17" t="s">
        <v>26</v>
      </c>
      <c r="E1" s="75" t="s">
        <v>3751</v>
      </c>
      <c r="F1" s="75" t="s">
        <v>4016</v>
      </c>
    </row>
    <row r="2" spans="1:6">
      <c r="A2" s="8">
        <v>1</v>
      </c>
      <c r="B2" s="7">
        <v>2</v>
      </c>
      <c r="C2" s="7">
        <v>3</v>
      </c>
      <c r="D2" s="7">
        <v>4</v>
      </c>
      <c r="E2" s="7">
        <v>5</v>
      </c>
      <c r="F2" s="178">
        <v>6</v>
      </c>
    </row>
    <row r="3" spans="1:6" ht="28.5">
      <c r="A3" s="42" t="s">
        <v>27</v>
      </c>
      <c r="B3" s="19" t="s">
        <v>28</v>
      </c>
      <c r="C3" s="13" t="s">
        <v>29</v>
      </c>
      <c r="D3" s="20"/>
      <c r="E3" s="76"/>
      <c r="F3" s="76"/>
    </row>
    <row r="4" spans="1:6">
      <c r="A4" s="43" t="s">
        <v>16</v>
      </c>
      <c r="B4" s="21" t="s">
        <v>30</v>
      </c>
      <c r="C4" s="22">
        <v>71</v>
      </c>
      <c r="D4" s="23"/>
      <c r="E4" s="77"/>
      <c r="F4" s="77"/>
    </row>
    <row r="5" spans="1:6" ht="30">
      <c r="A5" s="14" t="s">
        <v>31</v>
      </c>
      <c r="B5" s="24" t="s">
        <v>32</v>
      </c>
      <c r="C5" s="18">
        <v>711</v>
      </c>
      <c r="D5" s="25"/>
      <c r="E5" s="78"/>
      <c r="F5" s="78"/>
    </row>
    <row r="6" spans="1:6">
      <c r="A6" s="14" t="s">
        <v>33</v>
      </c>
      <c r="B6" s="24" t="s">
        <v>34</v>
      </c>
      <c r="C6" s="18">
        <v>711180</v>
      </c>
      <c r="D6" s="25"/>
      <c r="E6" s="78"/>
      <c r="F6" s="78"/>
    </row>
    <row r="7" spans="1:6">
      <c r="A7" s="14" t="s">
        <v>35</v>
      </c>
      <c r="B7" s="24" t="s">
        <v>36</v>
      </c>
      <c r="C7" s="18">
        <v>713</v>
      </c>
      <c r="D7" s="25"/>
      <c r="E7" s="78"/>
      <c r="F7" s="78"/>
    </row>
    <row r="8" spans="1:6">
      <c r="A8" s="14" t="s">
        <v>37</v>
      </c>
      <c r="B8" s="24" t="s">
        <v>38</v>
      </c>
      <c r="C8" s="18"/>
      <c r="D8" s="25"/>
      <c r="E8" s="78"/>
      <c r="F8" s="78"/>
    </row>
    <row r="9" spans="1:6">
      <c r="A9" s="44" t="s">
        <v>17</v>
      </c>
      <c r="B9" s="26" t="s">
        <v>39</v>
      </c>
      <c r="C9" s="27">
        <v>74</v>
      </c>
      <c r="D9" s="28"/>
      <c r="E9" s="79"/>
      <c r="F9" s="79"/>
    </row>
    <row r="10" spans="1:6">
      <c r="A10" s="45" t="s">
        <v>40</v>
      </c>
      <c r="B10" s="29" t="s">
        <v>41</v>
      </c>
      <c r="C10" s="30">
        <v>741510</v>
      </c>
      <c r="D10" s="31"/>
      <c r="E10" s="80"/>
      <c r="F10" s="80"/>
    </row>
    <row r="11" spans="1:6">
      <c r="A11" s="46" t="s">
        <v>42</v>
      </c>
      <c r="B11" s="29" t="s">
        <v>43</v>
      </c>
      <c r="C11" s="30">
        <v>741520</v>
      </c>
      <c r="D11" s="31"/>
      <c r="E11" s="80"/>
      <c r="F11" s="80"/>
    </row>
    <row r="12" spans="1:6">
      <c r="A12" s="46" t="s">
        <v>42</v>
      </c>
      <c r="B12" s="29" t="s">
        <v>44</v>
      </c>
      <c r="C12" s="30">
        <v>741534</v>
      </c>
      <c r="D12" s="31"/>
      <c r="E12" s="80"/>
      <c r="F12" s="80"/>
    </row>
    <row r="13" spans="1:6">
      <c r="A13" s="46" t="s">
        <v>46</v>
      </c>
      <c r="B13" s="32" t="s">
        <v>45</v>
      </c>
      <c r="C13" s="30">
        <v>741542</v>
      </c>
      <c r="D13" s="31"/>
      <c r="E13" s="80"/>
      <c r="F13" s="80"/>
    </row>
    <row r="14" spans="1:6">
      <c r="A14" s="46" t="s">
        <v>48</v>
      </c>
      <c r="B14" s="48" t="s">
        <v>47</v>
      </c>
      <c r="C14" s="49">
        <v>741411</v>
      </c>
      <c r="D14" s="31"/>
      <c r="E14" s="80"/>
      <c r="F14" s="80"/>
    </row>
    <row r="15" spans="1:6">
      <c r="A15" s="46" t="s">
        <v>50</v>
      </c>
      <c r="B15" s="48" t="s">
        <v>49</v>
      </c>
      <c r="C15" s="50">
        <v>742252</v>
      </c>
      <c r="D15" s="31"/>
      <c r="E15" s="80"/>
      <c r="F15" s="80"/>
    </row>
    <row r="16" spans="1:6">
      <c r="A16" s="46" t="s">
        <v>52</v>
      </c>
      <c r="B16" s="48" t="s">
        <v>51</v>
      </c>
      <c r="C16" s="50">
        <v>742253</v>
      </c>
      <c r="D16" s="31"/>
      <c r="E16" s="80"/>
      <c r="F16" s="80"/>
    </row>
    <row r="17" spans="1:6" ht="45">
      <c r="A17" s="46" t="s">
        <v>93</v>
      </c>
      <c r="B17" s="51" t="s">
        <v>53</v>
      </c>
      <c r="C17" s="50">
        <v>742340</v>
      </c>
      <c r="D17" s="31"/>
      <c r="E17" s="80"/>
      <c r="F17" s="80"/>
    </row>
    <row r="18" spans="1:6">
      <c r="A18" s="9" t="s">
        <v>94</v>
      </c>
      <c r="B18" s="51" t="s">
        <v>54</v>
      </c>
      <c r="C18" s="52"/>
      <c r="D18" s="31"/>
      <c r="E18" s="80"/>
      <c r="F18" s="80"/>
    </row>
    <row r="19" spans="1:6">
      <c r="A19" s="47" t="s">
        <v>18</v>
      </c>
      <c r="B19" s="33" t="s">
        <v>55</v>
      </c>
      <c r="C19" s="34" t="s">
        <v>56</v>
      </c>
      <c r="D19" s="35"/>
      <c r="E19" s="81"/>
      <c r="F19" s="81"/>
    </row>
    <row r="20" spans="1:6">
      <c r="A20" s="43" t="s">
        <v>19</v>
      </c>
      <c r="B20" s="21" t="s">
        <v>57</v>
      </c>
      <c r="C20" s="22">
        <v>733</v>
      </c>
      <c r="D20" s="23"/>
      <c r="E20" s="77"/>
      <c r="F20" s="77"/>
    </row>
    <row r="21" spans="1:6">
      <c r="A21" s="43" t="s">
        <v>21</v>
      </c>
      <c r="B21" s="21" t="s">
        <v>58</v>
      </c>
      <c r="C21" s="22">
        <v>771</v>
      </c>
      <c r="D21" s="23"/>
      <c r="E21" s="77"/>
      <c r="F21" s="77"/>
    </row>
    <row r="22" spans="1:6">
      <c r="A22" s="43" t="s">
        <v>22</v>
      </c>
      <c r="B22" s="21" t="s">
        <v>59</v>
      </c>
      <c r="C22" s="22">
        <v>8</v>
      </c>
      <c r="D22" s="23"/>
      <c r="E22" s="77"/>
      <c r="F22" s="77"/>
    </row>
    <row r="23" spans="1:6" ht="28.5">
      <c r="A23" s="12" t="s">
        <v>60</v>
      </c>
      <c r="B23" s="19" t="s">
        <v>61</v>
      </c>
      <c r="C23" s="13" t="s">
        <v>62</v>
      </c>
      <c r="D23" s="20"/>
      <c r="E23" s="76"/>
      <c r="F23" s="76"/>
    </row>
    <row r="24" spans="1:6">
      <c r="A24" s="43" t="s">
        <v>16</v>
      </c>
      <c r="B24" s="21" t="s">
        <v>63</v>
      </c>
      <c r="C24" s="22" t="s">
        <v>64</v>
      </c>
      <c r="D24" s="23"/>
      <c r="E24" s="77"/>
      <c r="F24" s="77"/>
    </row>
    <row r="25" spans="1:6">
      <c r="A25" s="14" t="s">
        <v>31</v>
      </c>
      <c r="B25" s="24" t="s">
        <v>65</v>
      </c>
      <c r="C25" s="18">
        <v>41</v>
      </c>
      <c r="D25" s="25"/>
      <c r="E25" s="78"/>
      <c r="F25" s="78"/>
    </row>
    <row r="26" spans="1:6">
      <c r="A26" s="14" t="s">
        <v>33</v>
      </c>
      <c r="B26" s="24" t="s">
        <v>66</v>
      </c>
      <c r="C26" s="18">
        <v>42</v>
      </c>
      <c r="D26" s="25"/>
      <c r="E26" s="78"/>
      <c r="F26" s="78"/>
    </row>
    <row r="27" spans="1:6">
      <c r="A27" s="14" t="s">
        <v>35</v>
      </c>
      <c r="B27" s="24" t="s">
        <v>67</v>
      </c>
      <c r="C27" s="18">
        <v>43</v>
      </c>
      <c r="D27" s="25"/>
      <c r="E27" s="78"/>
      <c r="F27" s="78"/>
    </row>
    <row r="28" spans="1:6">
      <c r="A28" s="14" t="s">
        <v>68</v>
      </c>
      <c r="B28" s="24" t="s">
        <v>69</v>
      </c>
      <c r="C28" s="18">
        <v>44</v>
      </c>
      <c r="D28" s="25"/>
      <c r="E28" s="78"/>
      <c r="F28" s="78"/>
    </row>
    <row r="29" spans="1:6">
      <c r="A29" s="14" t="s">
        <v>70</v>
      </c>
      <c r="B29" s="24" t="s">
        <v>71</v>
      </c>
      <c r="C29" s="18">
        <v>45</v>
      </c>
      <c r="D29" s="25"/>
      <c r="E29" s="78"/>
      <c r="F29" s="78"/>
    </row>
    <row r="30" spans="1:6">
      <c r="A30" s="14" t="s">
        <v>37</v>
      </c>
      <c r="B30" s="24" t="s">
        <v>72</v>
      </c>
      <c r="C30" s="18">
        <v>47</v>
      </c>
      <c r="D30" s="25"/>
      <c r="E30" s="78"/>
      <c r="F30" s="78"/>
    </row>
    <row r="31" spans="1:6">
      <c r="A31" s="14" t="s">
        <v>73</v>
      </c>
      <c r="B31" s="24" t="s">
        <v>74</v>
      </c>
      <c r="C31" s="18" t="s">
        <v>75</v>
      </c>
      <c r="D31" s="25"/>
      <c r="E31" s="78"/>
      <c r="F31" s="78"/>
    </row>
    <row r="32" spans="1:6">
      <c r="A32" s="43" t="s">
        <v>17</v>
      </c>
      <c r="B32" s="21" t="s">
        <v>57</v>
      </c>
      <c r="C32" s="22">
        <v>463</v>
      </c>
      <c r="D32" s="23"/>
      <c r="E32" s="77"/>
      <c r="F32" s="77"/>
    </row>
    <row r="33" spans="1:6">
      <c r="A33" s="43" t="s">
        <v>18</v>
      </c>
      <c r="B33" s="21" t="s">
        <v>76</v>
      </c>
      <c r="C33" s="22">
        <v>5</v>
      </c>
      <c r="D33" s="23"/>
      <c r="E33" s="77"/>
      <c r="F33" s="77"/>
    </row>
    <row r="34" spans="1:6">
      <c r="A34" s="43" t="s">
        <v>19</v>
      </c>
      <c r="B34" s="21" t="s">
        <v>77</v>
      </c>
      <c r="C34" s="22">
        <v>62</v>
      </c>
      <c r="D34" s="23"/>
      <c r="E34" s="77"/>
      <c r="F34" s="77"/>
    </row>
    <row r="35" spans="1:6" ht="28.5">
      <c r="A35" s="12" t="s">
        <v>78</v>
      </c>
      <c r="B35" s="19" t="s">
        <v>79</v>
      </c>
      <c r="C35" s="13">
        <v>9</v>
      </c>
      <c r="D35" s="20"/>
      <c r="E35" s="76"/>
      <c r="F35" s="76"/>
    </row>
    <row r="36" spans="1:6">
      <c r="A36" s="43" t="s">
        <v>16</v>
      </c>
      <c r="B36" s="21" t="s">
        <v>80</v>
      </c>
      <c r="C36" s="22">
        <v>91</v>
      </c>
      <c r="D36" s="23"/>
      <c r="E36" s="77"/>
      <c r="F36" s="77"/>
    </row>
    <row r="37" spans="1:6">
      <c r="A37" s="14" t="s">
        <v>31</v>
      </c>
      <c r="B37" s="24" t="s">
        <v>81</v>
      </c>
      <c r="C37" s="18">
        <v>911</v>
      </c>
      <c r="D37" s="25"/>
      <c r="E37" s="78"/>
      <c r="F37" s="78"/>
    </row>
    <row r="38" spans="1:6">
      <c r="A38" s="14" t="s">
        <v>33</v>
      </c>
      <c r="B38" s="24" t="s">
        <v>82</v>
      </c>
      <c r="C38" s="18">
        <v>912</v>
      </c>
      <c r="D38" s="25"/>
      <c r="E38" s="78"/>
      <c r="F38" s="78"/>
    </row>
    <row r="39" spans="1:6" ht="28.5">
      <c r="A39" s="43" t="s">
        <v>17</v>
      </c>
      <c r="B39" s="21" t="s">
        <v>83</v>
      </c>
      <c r="C39" s="22">
        <v>92</v>
      </c>
      <c r="D39" s="23"/>
      <c r="E39" s="77"/>
      <c r="F39" s="77"/>
    </row>
    <row r="40" spans="1:6" ht="28.5">
      <c r="A40" s="12" t="s">
        <v>84</v>
      </c>
      <c r="B40" s="19" t="s">
        <v>85</v>
      </c>
      <c r="C40" s="13">
        <v>6</v>
      </c>
      <c r="D40" s="20"/>
      <c r="E40" s="76"/>
      <c r="F40" s="76"/>
    </row>
    <row r="41" spans="1:6">
      <c r="A41" s="43" t="s">
        <v>16</v>
      </c>
      <c r="B41" s="21" t="s">
        <v>86</v>
      </c>
      <c r="C41" s="22">
        <v>61</v>
      </c>
      <c r="D41" s="23"/>
      <c r="E41" s="77"/>
      <c r="F41" s="77"/>
    </row>
    <row r="42" spans="1:6">
      <c r="A42" s="14" t="s">
        <v>31</v>
      </c>
      <c r="B42" s="24" t="s">
        <v>87</v>
      </c>
      <c r="C42" s="36">
        <v>611</v>
      </c>
      <c r="D42" s="37"/>
      <c r="E42" s="82"/>
      <c r="F42" s="82"/>
    </row>
    <row r="43" spans="1:6">
      <c r="A43" s="14" t="s">
        <v>33</v>
      </c>
      <c r="B43" s="24" t="s">
        <v>88</v>
      </c>
      <c r="C43" s="36">
        <v>612</v>
      </c>
      <c r="D43" s="37"/>
      <c r="E43" s="82"/>
      <c r="F43" s="82"/>
    </row>
    <row r="44" spans="1:6">
      <c r="A44" s="14" t="s">
        <v>35</v>
      </c>
      <c r="B44" s="24" t="s">
        <v>89</v>
      </c>
      <c r="C44" s="36">
        <v>613</v>
      </c>
      <c r="D44" s="37"/>
      <c r="E44" s="82"/>
      <c r="F44" s="82"/>
    </row>
    <row r="45" spans="1:6">
      <c r="A45" s="43" t="s">
        <v>17</v>
      </c>
      <c r="B45" s="21" t="s">
        <v>90</v>
      </c>
      <c r="C45" s="38">
        <v>6211</v>
      </c>
      <c r="D45" s="39"/>
      <c r="E45" s="83"/>
      <c r="F45" s="83"/>
    </row>
    <row r="46" spans="1:6">
      <c r="A46" s="11"/>
      <c r="B46" s="10"/>
      <c r="C46" s="40"/>
      <c r="D46" s="41"/>
      <c r="E46" s="84"/>
      <c r="F46" s="84"/>
    </row>
    <row r="47" spans="1:6" ht="28.5">
      <c r="A47" s="12" t="s">
        <v>91</v>
      </c>
      <c r="B47" s="19" t="s">
        <v>92</v>
      </c>
      <c r="C47" s="13">
        <v>3</v>
      </c>
      <c r="D47" s="20"/>
      <c r="E47" s="76"/>
      <c r="F47" s="7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07"/>
  <sheetViews>
    <sheetView topLeftCell="A43" zoomScale="96" zoomScaleNormal="96" workbookViewId="0">
      <selection activeCell="S13" sqref="S13"/>
    </sheetView>
  </sheetViews>
  <sheetFormatPr defaultRowHeight="15"/>
  <cols>
    <col min="1" max="1" width="11.7109375" style="85" customWidth="1"/>
    <col min="2" max="2" width="9.42578125" style="85" customWidth="1"/>
    <col min="3" max="3" width="51.7109375" style="85" customWidth="1"/>
    <col min="4" max="4" width="14.7109375" style="85" customWidth="1"/>
    <col min="5" max="5" width="7.7109375" style="85" customWidth="1"/>
    <col min="6" max="6" width="8.28515625" style="683" customWidth="1"/>
    <col min="7" max="7" width="17.28515625" style="683" customWidth="1"/>
    <col min="8" max="8" width="17.85546875" style="683" customWidth="1"/>
    <col min="9" max="9" width="17.85546875" style="1335" customWidth="1"/>
    <col min="10" max="10" width="9.140625" style="85"/>
    <col min="11" max="11" width="16.140625" style="85" customWidth="1"/>
    <col min="12" max="12" width="45.7109375" style="85" customWidth="1"/>
    <col min="13" max="13" width="17.28515625" style="85" customWidth="1"/>
    <col min="14" max="14" width="14.42578125" style="85" customWidth="1"/>
    <col min="15" max="52" width="9.140625" style="85" customWidth="1"/>
    <col min="53" max="16384" width="9.140625" style="85"/>
  </cols>
  <sheetData>
    <row r="1" spans="1:14" ht="15" customHeight="1">
      <c r="A1" s="1210" t="s">
        <v>3677</v>
      </c>
      <c r="B1" s="1210" t="s">
        <v>3678</v>
      </c>
      <c r="C1" s="1210" t="s">
        <v>3679</v>
      </c>
      <c r="D1" s="1205" t="s">
        <v>4726</v>
      </c>
      <c r="E1" s="1206"/>
      <c r="F1" s="1206"/>
      <c r="G1" s="1207"/>
      <c r="H1" s="1208" t="s">
        <v>4700</v>
      </c>
    </row>
    <row r="2" spans="1:14" ht="35.25" customHeight="1">
      <c r="A2" s="1211"/>
      <c r="B2" s="1211"/>
      <c r="C2" s="1211"/>
      <c r="D2" s="808" t="s">
        <v>4709</v>
      </c>
      <c r="E2" s="604" t="s">
        <v>4550</v>
      </c>
      <c r="F2" s="1148" t="s">
        <v>4708</v>
      </c>
      <c r="G2" s="1128" t="s">
        <v>4710</v>
      </c>
      <c r="H2" s="1209"/>
      <c r="K2" s="217"/>
      <c r="L2" s="181"/>
      <c r="M2" s="217"/>
      <c r="N2" s="217"/>
    </row>
    <row r="3" spans="1:14">
      <c r="A3" s="123"/>
      <c r="B3" s="123"/>
      <c r="C3" s="124" t="s">
        <v>3680</v>
      </c>
      <c r="D3" s="125">
        <v>91000000</v>
      </c>
      <c r="E3" s="605" t="s">
        <v>258</v>
      </c>
      <c r="F3" s="1149">
        <f>G3/D3*100</f>
        <v>99.59275040659341</v>
      </c>
      <c r="G3" s="1129">
        <v>90629402.870000005</v>
      </c>
      <c r="H3" s="1139">
        <f>D3-G3</f>
        <v>370597.12999999523</v>
      </c>
      <c r="K3" s="419"/>
      <c r="L3" s="181"/>
      <c r="M3" s="216"/>
      <c r="N3" s="216"/>
    </row>
    <row r="4" spans="1:14">
      <c r="A4" s="126" t="s">
        <v>2208</v>
      </c>
      <c r="B4" s="127"/>
      <c r="C4" s="128" t="s">
        <v>3681</v>
      </c>
      <c r="D4" s="129">
        <f>SUM(D5,D45,D53,D88,D90)</f>
        <v>644790000</v>
      </c>
      <c r="E4" s="606"/>
      <c r="F4" s="1150">
        <f>G4/D4*100</f>
        <v>66.850631134167728</v>
      </c>
      <c r="G4" s="1130">
        <f>G5+G45+G53</f>
        <v>431046184.49000007</v>
      </c>
      <c r="H4" s="1140">
        <f>SUM(H5,H45,H53,H88,H90)</f>
        <v>213743815.50999999</v>
      </c>
      <c r="K4" s="420"/>
      <c r="L4" s="181"/>
      <c r="M4" s="216"/>
      <c r="N4" s="216"/>
    </row>
    <row r="5" spans="1:14">
      <c r="A5" s="130">
        <v>710000</v>
      </c>
      <c r="B5" s="130"/>
      <c r="C5" s="131" t="s">
        <v>3682</v>
      </c>
      <c r="D5" s="132">
        <f>SUM(D6,D22,D33,D43)</f>
        <v>221340000</v>
      </c>
      <c r="E5" s="607" t="s">
        <v>236</v>
      </c>
      <c r="F5" s="1151">
        <f>G5/D5*100</f>
        <v>75.481338104273988</v>
      </c>
      <c r="G5" s="1131">
        <f>G6+G22+G33+G43</f>
        <v>167070393.76000005</v>
      </c>
      <c r="H5" s="1141">
        <f>SUM(H6,H22,H33,H43)</f>
        <v>54269606.239999995</v>
      </c>
      <c r="K5" s="421"/>
      <c r="L5" s="183"/>
      <c r="M5" s="216"/>
      <c r="N5" s="216"/>
    </row>
    <row r="6" spans="1:14">
      <c r="A6" s="133">
        <v>711000</v>
      </c>
      <c r="B6" s="134"/>
      <c r="C6" s="135" t="s">
        <v>3683</v>
      </c>
      <c r="D6" s="136">
        <f>SUM(D7:D21)</f>
        <v>178940000</v>
      </c>
      <c r="E6" s="608" t="s">
        <v>236</v>
      </c>
      <c r="F6" s="1152">
        <f>G6/D6*100</f>
        <v>76.534297887560086</v>
      </c>
      <c r="G6" s="1132">
        <f>G7+G8+G9+G10+G11+G13+G12+G14+G15+G16+G17+G18+G19+G20+G21</f>
        <v>136950472.64000002</v>
      </c>
      <c r="H6" s="1142">
        <f>SUM(H7:H21)</f>
        <v>41989527.359999992</v>
      </c>
      <c r="K6" s="248"/>
      <c r="L6" s="181"/>
      <c r="M6" s="216"/>
      <c r="N6" s="216"/>
    </row>
    <row r="7" spans="1:14">
      <c r="A7" s="137"/>
      <c r="B7" s="213">
        <v>711111</v>
      </c>
      <c r="C7" s="138" t="s">
        <v>3684</v>
      </c>
      <c r="D7" s="139">
        <v>148000000</v>
      </c>
      <c r="E7" s="609" t="s">
        <v>236</v>
      </c>
      <c r="F7" s="1153">
        <f>G7/D7*100</f>
        <v>76.563647020270281</v>
      </c>
      <c r="G7" s="1133">
        <v>113314197.59</v>
      </c>
      <c r="H7" s="1143">
        <f>D7-G7</f>
        <v>34685802.409999996</v>
      </c>
      <c r="K7" s="248"/>
      <c r="L7" s="181"/>
      <c r="M7" s="218"/>
      <c r="N7" s="218"/>
    </row>
    <row r="8" spans="1:14">
      <c r="A8" s="137"/>
      <c r="B8" s="213"/>
      <c r="C8" s="138"/>
      <c r="D8" s="139"/>
      <c r="E8" s="609"/>
      <c r="F8" s="1153"/>
      <c r="G8" s="1133"/>
      <c r="H8" s="1133"/>
      <c r="K8" s="422"/>
      <c r="L8" s="181"/>
      <c r="M8" s="218"/>
      <c r="N8" s="218"/>
    </row>
    <row r="9" spans="1:14" ht="24">
      <c r="A9" s="137"/>
      <c r="B9" s="213">
        <v>711121</v>
      </c>
      <c r="C9" s="138" t="s">
        <v>3685</v>
      </c>
      <c r="D9" s="139">
        <v>370000</v>
      </c>
      <c r="E9" s="609" t="s">
        <v>236</v>
      </c>
      <c r="F9" s="1153">
        <f t="shared" ref="F9:F21" si="0">G9/D9*100</f>
        <v>56.925262162162163</v>
      </c>
      <c r="G9" s="1133">
        <v>210623.47</v>
      </c>
      <c r="H9" s="1143">
        <f>D9-G9</f>
        <v>159376.53</v>
      </c>
      <c r="K9" s="248"/>
      <c r="L9" s="224"/>
      <c r="M9" s="225"/>
      <c r="N9" s="225"/>
    </row>
    <row r="10" spans="1:14" ht="24">
      <c r="A10" s="137"/>
      <c r="B10" s="213">
        <v>711122</v>
      </c>
      <c r="C10" s="138" t="s">
        <v>3686</v>
      </c>
      <c r="D10" s="139">
        <v>6800000</v>
      </c>
      <c r="E10" s="609" t="s">
        <v>236</v>
      </c>
      <c r="F10" s="1153">
        <f t="shared" si="0"/>
        <v>81.457919852941174</v>
      </c>
      <c r="G10" s="1133">
        <v>5539138.5499999998</v>
      </c>
      <c r="H10" s="1143">
        <f t="shared" ref="H10:H21" si="1">D10-G10</f>
        <v>1260861.4500000002</v>
      </c>
    </row>
    <row r="11" spans="1:14" ht="24">
      <c r="A11" s="137"/>
      <c r="B11" s="213">
        <v>711123</v>
      </c>
      <c r="C11" s="138" t="s">
        <v>3744</v>
      </c>
      <c r="D11" s="139">
        <v>11500000</v>
      </c>
      <c r="E11" s="609" t="s">
        <v>236</v>
      </c>
      <c r="F11" s="1153">
        <f t="shared" si="0"/>
        <v>65.595485652173906</v>
      </c>
      <c r="G11" s="1133">
        <v>7543480.8499999996</v>
      </c>
      <c r="H11" s="1143">
        <f t="shared" si="1"/>
        <v>3956519.1500000004</v>
      </c>
    </row>
    <row r="12" spans="1:14">
      <c r="A12" s="137"/>
      <c r="B12" s="213">
        <v>711143</v>
      </c>
      <c r="C12" s="138" t="s">
        <v>3687</v>
      </c>
      <c r="D12" s="139">
        <v>0</v>
      </c>
      <c r="E12" s="609"/>
      <c r="F12" s="1153"/>
      <c r="G12" s="1133"/>
      <c r="H12" s="1143">
        <f t="shared" si="1"/>
        <v>0</v>
      </c>
    </row>
    <row r="13" spans="1:14" ht="29.25" customHeight="1">
      <c r="A13" s="137"/>
      <c r="B13" s="213">
        <v>711145</v>
      </c>
      <c r="C13" s="138" t="s">
        <v>3745</v>
      </c>
      <c r="D13" s="139">
        <v>600000</v>
      </c>
      <c r="E13" s="609" t="s">
        <v>236</v>
      </c>
      <c r="F13" s="1153">
        <f t="shared" si="0"/>
        <v>80.598613333333333</v>
      </c>
      <c r="G13" s="1133">
        <v>483591.67999999999</v>
      </c>
      <c r="H13" s="1143">
        <f t="shared" si="1"/>
        <v>116408.32000000001</v>
      </c>
      <c r="K13" s="615" t="s">
        <v>236</v>
      </c>
      <c r="L13" s="618" t="s">
        <v>4556</v>
      </c>
      <c r="M13" s="783">
        <f>D5+D53+D50-D79</f>
        <v>571700000</v>
      </c>
    </row>
    <row r="14" spans="1:14" ht="24">
      <c r="A14" s="137"/>
      <c r="B14" s="213">
        <v>711146</v>
      </c>
      <c r="C14" s="138" t="s">
        <v>3688</v>
      </c>
      <c r="D14" s="139">
        <v>0</v>
      </c>
      <c r="E14" s="609"/>
      <c r="F14" s="1153">
        <v>0</v>
      </c>
      <c r="G14" s="1133">
        <v>695</v>
      </c>
      <c r="H14" s="1143">
        <f t="shared" si="1"/>
        <v>-695</v>
      </c>
      <c r="K14" s="615" t="s">
        <v>246</v>
      </c>
      <c r="L14" s="181" t="s">
        <v>4557</v>
      </c>
      <c r="M14" s="784">
        <f>D46</f>
        <v>0</v>
      </c>
    </row>
    <row r="15" spans="1:14">
      <c r="A15" s="137"/>
      <c r="B15" s="213">
        <v>711147</v>
      </c>
      <c r="C15" s="138" t="s">
        <v>3689</v>
      </c>
      <c r="D15" s="139">
        <v>60000</v>
      </c>
      <c r="E15" s="609" t="s">
        <v>236</v>
      </c>
      <c r="F15" s="1153">
        <f t="shared" si="0"/>
        <v>0.58833333333333337</v>
      </c>
      <c r="G15" s="1133">
        <v>353</v>
      </c>
      <c r="H15" s="1143">
        <f t="shared" si="1"/>
        <v>59647</v>
      </c>
      <c r="K15" s="615" t="s">
        <v>248</v>
      </c>
      <c r="L15" s="618" t="s">
        <v>4558</v>
      </c>
      <c r="M15" s="785">
        <f>D49-D50</f>
        <v>69390000</v>
      </c>
    </row>
    <row r="16" spans="1:14">
      <c r="A16" s="137"/>
      <c r="B16" s="213"/>
      <c r="C16" s="138"/>
      <c r="D16" s="139"/>
      <c r="E16" s="609"/>
      <c r="F16" s="1153"/>
      <c r="G16" s="1133"/>
      <c r="H16" s="1143">
        <f t="shared" si="1"/>
        <v>0</v>
      </c>
      <c r="K16" s="615" t="s">
        <v>250</v>
      </c>
      <c r="L16" s="618" t="s">
        <v>4672</v>
      </c>
      <c r="M16" s="785">
        <f>D79</f>
        <v>3700000</v>
      </c>
    </row>
    <row r="17" spans="1:13">
      <c r="A17" s="137"/>
      <c r="B17" s="213">
        <v>711148</v>
      </c>
      <c r="C17" s="138" t="s">
        <v>3690</v>
      </c>
      <c r="D17" s="139">
        <v>0</v>
      </c>
      <c r="E17" s="609"/>
      <c r="F17" s="1153"/>
      <c r="G17" s="1133"/>
      <c r="H17" s="1143">
        <f t="shared" si="1"/>
        <v>0</v>
      </c>
      <c r="K17" s="615" t="s">
        <v>251</v>
      </c>
      <c r="L17" s="181" t="s">
        <v>4559</v>
      </c>
      <c r="M17" s="787">
        <f>D92</f>
        <v>98300000</v>
      </c>
    </row>
    <row r="18" spans="1:13">
      <c r="A18" s="137"/>
      <c r="B18" s="213">
        <v>711161</v>
      </c>
      <c r="C18" s="138" t="s">
        <v>3691</v>
      </c>
      <c r="D18" s="139"/>
      <c r="E18" s="609"/>
      <c r="F18" s="1153"/>
      <c r="G18" s="1133"/>
      <c r="H18" s="1143">
        <f t="shared" si="1"/>
        <v>0</v>
      </c>
      <c r="K18" s="615" t="s">
        <v>258</v>
      </c>
      <c r="L18" s="181" t="s">
        <v>4560</v>
      </c>
      <c r="M18" s="788">
        <f>D3</f>
        <v>91000000</v>
      </c>
    </row>
    <row r="19" spans="1:13">
      <c r="A19" s="137"/>
      <c r="B19" s="211">
        <v>711180</v>
      </c>
      <c r="C19" s="138" t="s">
        <v>3692</v>
      </c>
      <c r="D19" s="139">
        <v>10000</v>
      </c>
      <c r="E19" s="609" t="s">
        <v>236</v>
      </c>
      <c r="F19" s="1153">
        <f t="shared" si="0"/>
        <v>213.05</v>
      </c>
      <c r="G19" s="1133">
        <v>21305</v>
      </c>
      <c r="H19" s="1143">
        <f t="shared" si="1"/>
        <v>-11305</v>
      </c>
      <c r="K19" s="614"/>
      <c r="M19" s="786">
        <f>SUM(M13:M18)</f>
        <v>834090000</v>
      </c>
    </row>
    <row r="20" spans="1:13">
      <c r="A20" s="137"/>
      <c r="B20" s="603">
        <v>711191</v>
      </c>
      <c r="C20" s="138" t="s">
        <v>4539</v>
      </c>
      <c r="D20" s="139">
        <v>11450000</v>
      </c>
      <c r="E20" s="609" t="s">
        <v>236</v>
      </c>
      <c r="F20" s="1153">
        <f t="shared" si="0"/>
        <v>84.743886288209609</v>
      </c>
      <c r="G20" s="1133">
        <v>9703174.9800000004</v>
      </c>
      <c r="H20" s="1143">
        <f t="shared" si="1"/>
        <v>1746825.0199999996</v>
      </c>
      <c r="K20" s="614"/>
    </row>
    <row r="21" spans="1:13">
      <c r="A21" s="140"/>
      <c r="B21" s="213">
        <v>711193</v>
      </c>
      <c r="C21" s="138" t="s">
        <v>4540</v>
      </c>
      <c r="D21" s="139">
        <v>150000</v>
      </c>
      <c r="E21" s="609" t="s">
        <v>236</v>
      </c>
      <c r="F21" s="1153">
        <f t="shared" si="0"/>
        <v>89.275013333333334</v>
      </c>
      <c r="G21" s="1133">
        <v>133912.51999999999</v>
      </c>
      <c r="H21" s="1143">
        <f t="shared" si="1"/>
        <v>16087.48000000001</v>
      </c>
      <c r="K21" s="614"/>
    </row>
    <row r="22" spans="1:13">
      <c r="A22" s="133">
        <v>713000</v>
      </c>
      <c r="B22" s="141"/>
      <c r="C22" s="135" t="s">
        <v>3693</v>
      </c>
      <c r="D22" s="136">
        <f>SUM(D23:D32)</f>
        <v>24800000</v>
      </c>
      <c r="E22" s="608" t="s">
        <v>236</v>
      </c>
      <c r="F22" s="1152">
        <f>G22/D22*100</f>
        <v>65.63548181451614</v>
      </c>
      <c r="G22" s="1132">
        <f>G23+G24+G25+G26+G27+G28+G29+G30+G31+G32</f>
        <v>16277599.490000002</v>
      </c>
      <c r="H22" s="1142">
        <f>SUM(H23:H32)</f>
        <v>8522400.5099999979</v>
      </c>
      <c r="K22" s="614"/>
    </row>
    <row r="23" spans="1:13" ht="24">
      <c r="A23" s="137"/>
      <c r="B23" s="211">
        <v>713121</v>
      </c>
      <c r="C23" s="138" t="s">
        <v>3694</v>
      </c>
      <c r="D23" s="139">
        <v>10000000</v>
      </c>
      <c r="E23" s="609" t="s">
        <v>236</v>
      </c>
      <c r="F23" s="1153">
        <f>G23/D23*100</f>
        <v>64.326207400000001</v>
      </c>
      <c r="G23" s="1133">
        <v>6432620.7400000002</v>
      </c>
      <c r="H23" s="1143">
        <f>D23-G23</f>
        <v>3567379.26</v>
      </c>
      <c r="K23" s="215"/>
    </row>
    <row r="24" spans="1:13" ht="24">
      <c r="A24" s="137"/>
      <c r="B24" s="211">
        <v>713122</v>
      </c>
      <c r="C24" s="138" t="s">
        <v>3695</v>
      </c>
      <c r="D24" s="139">
        <v>9700000</v>
      </c>
      <c r="E24" s="609" t="s">
        <v>236</v>
      </c>
      <c r="F24" s="1153">
        <f t="shared" ref="F24:F29" si="2">G24/D24*100</f>
        <v>66.167602061855675</v>
      </c>
      <c r="G24" s="1133">
        <v>6418257.4000000004</v>
      </c>
      <c r="H24" s="1143">
        <f>D24-G24</f>
        <v>3281742.5999999996</v>
      </c>
      <c r="K24" s="215"/>
    </row>
    <row r="25" spans="1:13" ht="24">
      <c r="A25" s="137"/>
      <c r="B25" s="211">
        <v>713126</v>
      </c>
      <c r="C25" s="138" t="s">
        <v>3746</v>
      </c>
      <c r="D25" s="139">
        <v>0</v>
      </c>
      <c r="E25" s="609" t="s">
        <v>236</v>
      </c>
      <c r="F25" s="1153">
        <v>0</v>
      </c>
      <c r="G25" s="1133"/>
      <c r="H25" s="1143">
        <f t="shared" ref="H25:H32" si="3">D25-G25</f>
        <v>0</v>
      </c>
    </row>
    <row r="26" spans="1:13">
      <c r="A26" s="137"/>
      <c r="B26" s="213">
        <v>713311</v>
      </c>
      <c r="C26" s="138" t="s">
        <v>3696</v>
      </c>
      <c r="D26" s="139">
        <v>900000</v>
      </c>
      <c r="E26" s="609" t="s">
        <v>236</v>
      </c>
      <c r="F26" s="1153">
        <f t="shared" si="2"/>
        <v>136.84618333333333</v>
      </c>
      <c r="G26" s="1133">
        <v>1231615.6499999999</v>
      </c>
      <c r="H26" s="1143">
        <f t="shared" si="3"/>
        <v>-331615.64999999991</v>
      </c>
    </row>
    <row r="27" spans="1:13" ht="24">
      <c r="A27" s="137"/>
      <c r="B27" s="213">
        <v>713421</v>
      </c>
      <c r="C27" s="138" t="s">
        <v>3697</v>
      </c>
      <c r="D27" s="139">
        <v>2000000</v>
      </c>
      <c r="E27" s="609" t="s">
        <v>236</v>
      </c>
      <c r="F27" s="1153">
        <f t="shared" si="2"/>
        <v>54.507453500000004</v>
      </c>
      <c r="G27" s="1133">
        <v>1090149.07</v>
      </c>
      <c r="H27" s="1143">
        <f t="shared" si="3"/>
        <v>909850.92999999993</v>
      </c>
    </row>
    <row r="28" spans="1:13" ht="36">
      <c r="A28" s="137"/>
      <c r="B28" s="213">
        <v>713422</v>
      </c>
      <c r="C28" s="138" t="s">
        <v>3698</v>
      </c>
      <c r="D28" s="139">
        <v>0</v>
      </c>
      <c r="E28" s="609"/>
      <c r="F28" s="1153">
        <v>0</v>
      </c>
      <c r="G28" s="1133"/>
      <c r="H28" s="1143">
        <f t="shared" si="3"/>
        <v>0</v>
      </c>
    </row>
    <row r="29" spans="1:13" ht="24">
      <c r="A29" s="137"/>
      <c r="B29" s="213">
        <v>713423</v>
      </c>
      <c r="C29" s="138" t="s">
        <v>3747</v>
      </c>
      <c r="D29" s="139">
        <v>2200000</v>
      </c>
      <c r="E29" s="609" t="s">
        <v>236</v>
      </c>
      <c r="F29" s="1153">
        <f t="shared" si="2"/>
        <v>50.225301363636355</v>
      </c>
      <c r="G29" s="1133">
        <v>1104956.6299999999</v>
      </c>
      <c r="H29" s="1143">
        <f t="shared" si="3"/>
        <v>1095043.3700000001</v>
      </c>
    </row>
    <row r="30" spans="1:13" ht="24">
      <c r="A30" s="137"/>
      <c r="B30" s="213">
        <v>713424</v>
      </c>
      <c r="C30" s="138" t="s">
        <v>3748</v>
      </c>
      <c r="D30" s="139">
        <v>0</v>
      </c>
      <c r="E30" s="609"/>
      <c r="F30" s="1153">
        <v>0</v>
      </c>
      <c r="G30" s="1133"/>
      <c r="H30" s="1143">
        <f t="shared" si="3"/>
        <v>0</v>
      </c>
    </row>
    <row r="31" spans="1:13" ht="24">
      <c r="A31" s="137"/>
      <c r="B31" s="213">
        <v>713426</v>
      </c>
      <c r="C31" s="138" t="s">
        <v>4324</v>
      </c>
      <c r="D31" s="139">
        <v>0</v>
      </c>
      <c r="E31" s="609"/>
      <c r="F31" s="1153">
        <v>0</v>
      </c>
      <c r="G31" s="1133"/>
      <c r="H31" s="1143">
        <f t="shared" si="3"/>
        <v>0</v>
      </c>
    </row>
    <row r="32" spans="1:13">
      <c r="A32" s="137"/>
      <c r="B32" s="213">
        <v>713611</v>
      </c>
      <c r="C32" s="142" t="s">
        <v>3699</v>
      </c>
      <c r="D32" s="139">
        <v>0</v>
      </c>
      <c r="E32" s="609"/>
      <c r="F32" s="1153">
        <v>0</v>
      </c>
      <c r="G32" s="1133"/>
      <c r="H32" s="1143">
        <f t="shared" si="3"/>
        <v>0</v>
      </c>
    </row>
    <row r="33" spans="1:8">
      <c r="A33" s="133">
        <v>714000</v>
      </c>
      <c r="B33" s="134"/>
      <c r="C33" s="135" t="s">
        <v>3700</v>
      </c>
      <c r="D33" s="136">
        <f>SUM(D34:D42)</f>
        <v>8800000</v>
      </c>
      <c r="E33" s="608" t="s">
        <v>236</v>
      </c>
      <c r="F33" s="1152">
        <f>G33/D33*100</f>
        <v>79.810085795454555</v>
      </c>
      <c r="G33" s="1132">
        <f>G34+G35+G37+G36+G38+G39+G40+G41+G42</f>
        <v>7023287.5500000007</v>
      </c>
      <c r="H33" s="1142">
        <f>SUM(H34:H42)</f>
        <v>1776712.4500000002</v>
      </c>
    </row>
    <row r="34" spans="1:8">
      <c r="A34" s="143"/>
      <c r="B34" s="213">
        <v>714441</v>
      </c>
      <c r="C34" s="138" t="s">
        <v>3701</v>
      </c>
      <c r="D34" s="139">
        <v>0</v>
      </c>
      <c r="E34" s="609"/>
      <c r="F34" s="1153">
        <f t="shared" ref="F34:F48" si="4">IFERROR(D34/$D$105,"-")</f>
        <v>0</v>
      </c>
      <c r="G34" s="1133"/>
      <c r="H34" s="1143">
        <f>D34-G34</f>
        <v>0</v>
      </c>
    </row>
    <row r="35" spans="1:8" ht="48">
      <c r="A35" s="143"/>
      <c r="B35" s="211">
        <v>714431</v>
      </c>
      <c r="C35" s="142" t="s">
        <v>3702</v>
      </c>
      <c r="D35" s="139">
        <v>0</v>
      </c>
      <c r="E35" s="609"/>
      <c r="F35" s="1153">
        <f t="shared" si="4"/>
        <v>0</v>
      </c>
      <c r="G35" s="1133">
        <v>2276</v>
      </c>
      <c r="H35" s="1143">
        <f>D35-G35</f>
        <v>-2276</v>
      </c>
    </row>
    <row r="36" spans="1:8">
      <c r="A36" s="143"/>
      <c r="B36" s="211">
        <v>714512</v>
      </c>
      <c r="C36" s="142" t="s">
        <v>4294</v>
      </c>
      <c r="D36" s="139">
        <v>0</v>
      </c>
      <c r="E36" s="609"/>
      <c r="F36" s="1153">
        <f t="shared" si="4"/>
        <v>0</v>
      </c>
      <c r="G36" s="1133"/>
      <c r="H36" s="1143">
        <f t="shared" ref="H36:H42" si="5">D36-G36</f>
        <v>0</v>
      </c>
    </row>
    <row r="37" spans="1:8" ht="24">
      <c r="A37" s="143"/>
      <c r="B37" s="211">
        <v>714513</v>
      </c>
      <c r="C37" s="138" t="s">
        <v>3703</v>
      </c>
      <c r="D37" s="139">
        <v>8100000</v>
      </c>
      <c r="E37" s="609" t="s">
        <v>236</v>
      </c>
      <c r="F37" s="1153">
        <f>G37/D37*100</f>
        <v>77.944580246913574</v>
      </c>
      <c r="G37" s="1133">
        <v>6313511</v>
      </c>
      <c r="H37" s="1143">
        <f t="shared" si="5"/>
        <v>1786489</v>
      </c>
    </row>
    <row r="38" spans="1:8">
      <c r="A38" s="143"/>
      <c r="B38" s="213">
        <v>714543</v>
      </c>
      <c r="C38" s="138" t="s">
        <v>3704</v>
      </c>
      <c r="D38" s="139">
        <v>100000</v>
      </c>
      <c r="E38" s="609" t="s">
        <v>236</v>
      </c>
      <c r="F38" s="1153">
        <f t="shared" ref="F38:F40" si="6">G38/D38*100</f>
        <v>77.359200000000001</v>
      </c>
      <c r="G38" s="1133">
        <v>77359.199999999997</v>
      </c>
      <c r="H38" s="1143">
        <f t="shared" si="5"/>
        <v>22640.800000000003</v>
      </c>
    </row>
    <row r="39" spans="1:8" ht="24">
      <c r="A39" s="143"/>
      <c r="B39" s="213">
        <v>714549</v>
      </c>
      <c r="C39" s="138" t="s">
        <v>3705</v>
      </c>
      <c r="D39" s="139">
        <v>0</v>
      </c>
      <c r="E39" s="609"/>
      <c r="F39" s="1153">
        <v>0</v>
      </c>
      <c r="G39" s="1133">
        <v>92438.62</v>
      </c>
      <c r="H39" s="1143">
        <f t="shared" si="5"/>
        <v>-92438.62</v>
      </c>
    </row>
    <row r="40" spans="1:8">
      <c r="A40" s="140"/>
      <c r="B40" s="211">
        <v>714552</v>
      </c>
      <c r="C40" s="142" t="s">
        <v>3706</v>
      </c>
      <c r="D40" s="139">
        <v>600000</v>
      </c>
      <c r="E40" s="609" t="s">
        <v>236</v>
      </c>
      <c r="F40" s="1153">
        <f t="shared" si="6"/>
        <v>89.583708333333334</v>
      </c>
      <c r="G40" s="1133">
        <v>537502.25</v>
      </c>
      <c r="H40" s="1143">
        <f t="shared" si="5"/>
        <v>62497.75</v>
      </c>
    </row>
    <row r="41" spans="1:8">
      <c r="A41" s="143"/>
      <c r="B41" s="211">
        <v>714562</v>
      </c>
      <c r="C41" s="138" t="s">
        <v>3707</v>
      </c>
      <c r="D41" s="139">
        <v>0</v>
      </c>
      <c r="E41" s="609"/>
      <c r="F41" s="1153">
        <v>0</v>
      </c>
      <c r="G41" s="1133">
        <v>200.48</v>
      </c>
      <c r="H41" s="1143">
        <f t="shared" si="5"/>
        <v>-200.48</v>
      </c>
    </row>
    <row r="42" spans="1:8">
      <c r="A42" s="143"/>
      <c r="B42" s="211">
        <v>714572</v>
      </c>
      <c r="C42" s="138" t="s">
        <v>3708</v>
      </c>
      <c r="D42" s="139">
        <v>0</v>
      </c>
      <c r="E42" s="609"/>
      <c r="F42" s="1153">
        <f t="shared" si="4"/>
        <v>0</v>
      </c>
      <c r="G42" s="1133"/>
      <c r="H42" s="1143">
        <f t="shared" si="5"/>
        <v>0</v>
      </c>
    </row>
    <row r="43" spans="1:8">
      <c r="A43" s="144" t="s">
        <v>2392</v>
      </c>
      <c r="B43" s="145"/>
      <c r="C43" s="146" t="s">
        <v>3709</v>
      </c>
      <c r="D43" s="136">
        <f>SUM(D44:D44)</f>
        <v>8800000</v>
      </c>
      <c r="E43" s="608" t="s">
        <v>236</v>
      </c>
      <c r="F43" s="1152">
        <f>G43/D43*100</f>
        <v>77.48902363636364</v>
      </c>
      <c r="G43" s="1132">
        <f>G44</f>
        <v>6819034.0800000001</v>
      </c>
      <c r="H43" s="1142">
        <f>SUM(H44:H44)</f>
        <v>1980965.92</v>
      </c>
    </row>
    <row r="44" spans="1:8">
      <c r="A44" s="143"/>
      <c r="B44" s="212" t="s">
        <v>2396</v>
      </c>
      <c r="C44" s="138" t="s">
        <v>3710</v>
      </c>
      <c r="D44" s="139">
        <v>8800000</v>
      </c>
      <c r="E44" s="609" t="s">
        <v>236</v>
      </c>
      <c r="F44" s="1153">
        <f>G44/D44*100</f>
        <v>77.48902363636364</v>
      </c>
      <c r="G44" s="1133">
        <v>6819034.0800000001</v>
      </c>
      <c r="H44" s="1143">
        <f>D44-G44</f>
        <v>1980965.92</v>
      </c>
    </row>
    <row r="45" spans="1:8">
      <c r="A45" s="147" t="s">
        <v>2599</v>
      </c>
      <c r="B45" s="148"/>
      <c r="C45" s="149" t="s">
        <v>3711</v>
      </c>
      <c r="D45" s="132">
        <f>SUM(D46,D49)</f>
        <v>339390000</v>
      </c>
      <c r="E45" s="607"/>
      <c r="F45" s="1151">
        <f>G45/D45*100</f>
        <v>67.432358275140686</v>
      </c>
      <c r="G45" s="1131">
        <f>G46+G49</f>
        <v>228858680.75</v>
      </c>
      <c r="H45" s="1141">
        <f>SUM(H46,H49)</f>
        <v>110531319.25</v>
      </c>
    </row>
    <row r="46" spans="1:8">
      <c r="A46" s="144" t="s">
        <v>2624</v>
      </c>
      <c r="B46" s="145"/>
      <c r="C46" s="146" t="s">
        <v>3712</v>
      </c>
      <c r="D46" s="136">
        <f>D47+D48</f>
        <v>0</v>
      </c>
      <c r="E46" s="608" t="s">
        <v>246</v>
      </c>
      <c r="F46" s="1152">
        <f t="shared" si="4"/>
        <v>0</v>
      </c>
      <c r="G46" s="1132">
        <f>G47+G48</f>
        <v>0</v>
      </c>
      <c r="H46" s="1132">
        <f>H47+H48</f>
        <v>0</v>
      </c>
    </row>
    <row r="47" spans="1:8" ht="24">
      <c r="A47" s="143"/>
      <c r="B47" s="212" t="s">
        <v>4295</v>
      </c>
      <c r="C47" s="150" t="s">
        <v>4455</v>
      </c>
      <c r="D47" s="139">
        <v>0</v>
      </c>
      <c r="E47" s="609" t="s">
        <v>246</v>
      </c>
      <c r="F47" s="1153">
        <f t="shared" si="4"/>
        <v>0</v>
      </c>
      <c r="G47" s="1133">
        <v>0</v>
      </c>
      <c r="H47" s="1143">
        <f>D47-G47</f>
        <v>0</v>
      </c>
    </row>
    <row r="48" spans="1:8" ht="24">
      <c r="A48" s="143"/>
      <c r="B48" s="212" t="s">
        <v>4296</v>
      </c>
      <c r="C48" s="150" t="s">
        <v>4454</v>
      </c>
      <c r="D48" s="139">
        <v>0</v>
      </c>
      <c r="E48" s="609" t="s">
        <v>246</v>
      </c>
      <c r="F48" s="1153">
        <f t="shared" si="4"/>
        <v>0</v>
      </c>
      <c r="G48" s="1133">
        <v>0</v>
      </c>
      <c r="H48" s="1143">
        <f>D48-G48</f>
        <v>0</v>
      </c>
    </row>
    <row r="49" spans="1:9">
      <c r="A49" s="144" t="s">
        <v>2648</v>
      </c>
      <c r="B49" s="145"/>
      <c r="C49" s="146" t="s">
        <v>3713</v>
      </c>
      <c r="D49" s="136">
        <f>SUM(D50:D52)</f>
        <v>339390000</v>
      </c>
      <c r="E49" s="608"/>
      <c r="F49" s="1152">
        <f>G49/D49*100</f>
        <v>67.432358275140686</v>
      </c>
      <c r="G49" s="1132">
        <f>G50+G51+G52</f>
        <v>228858680.75</v>
      </c>
      <c r="H49" s="1142">
        <f>SUM(H50:H52)</f>
        <v>110531319.25</v>
      </c>
    </row>
    <row r="50" spans="1:9">
      <c r="A50" s="151"/>
      <c r="B50" s="152">
        <v>733151</v>
      </c>
      <c r="C50" s="153" t="s">
        <v>4297</v>
      </c>
      <c r="D50" s="139">
        <v>270000000</v>
      </c>
      <c r="E50" s="609" t="s">
        <v>236</v>
      </c>
      <c r="F50" s="1153">
        <f>G50/D50*100</f>
        <v>74.209339999999997</v>
      </c>
      <c r="G50" s="1133">
        <v>200365218</v>
      </c>
      <c r="H50" s="1143">
        <f>D50-G50</f>
        <v>69634782</v>
      </c>
    </row>
    <row r="51" spans="1:9" ht="24">
      <c r="A51" s="151"/>
      <c r="B51" s="143" t="s">
        <v>4298</v>
      </c>
      <c r="C51" s="150" t="s">
        <v>4299</v>
      </c>
      <c r="D51" s="139">
        <v>21690000</v>
      </c>
      <c r="E51" s="609" t="s">
        <v>248</v>
      </c>
      <c r="F51" s="1153">
        <f t="shared" ref="F51:F52" si="7">G51/D51*100</f>
        <v>131.36681765790686</v>
      </c>
      <c r="G51" s="1133">
        <v>28493462.75</v>
      </c>
      <c r="H51" s="1143">
        <f>D51-G51</f>
        <v>-6803462.75</v>
      </c>
    </row>
    <row r="52" spans="1:9" ht="27.75" customHeight="1">
      <c r="A52" s="151"/>
      <c r="B52" s="143" t="s">
        <v>4300</v>
      </c>
      <c r="C52" s="150" t="s">
        <v>4301</v>
      </c>
      <c r="D52" s="139">
        <v>47700000</v>
      </c>
      <c r="E52" s="609" t="s">
        <v>248</v>
      </c>
      <c r="F52" s="1153">
        <f t="shared" si="7"/>
        <v>0</v>
      </c>
      <c r="G52" s="1133">
        <v>0</v>
      </c>
      <c r="H52" s="1143">
        <f>D52-G52</f>
        <v>47700000</v>
      </c>
    </row>
    <row r="53" spans="1:9">
      <c r="A53" s="147" t="s">
        <v>2706</v>
      </c>
      <c r="B53" s="148"/>
      <c r="C53" s="149" t="s">
        <v>3714</v>
      </c>
      <c r="D53" s="132">
        <f>SUM(D54,D67,D76,D79,D82)</f>
        <v>84060000</v>
      </c>
      <c r="E53" s="607"/>
      <c r="F53" s="1151">
        <f>G53/D53*100</f>
        <v>41.776243135855346</v>
      </c>
      <c r="G53" s="1131">
        <f>G54+G67+G76+G79+G82</f>
        <v>35117109.980000004</v>
      </c>
      <c r="H53" s="1141">
        <f>SUM(H54,H67,H76,H79,H82)</f>
        <v>48942890.019999996</v>
      </c>
    </row>
    <row r="54" spans="1:9">
      <c r="A54" s="144" t="s">
        <v>2708</v>
      </c>
      <c r="B54" s="145"/>
      <c r="C54" s="146" t="s">
        <v>3715</v>
      </c>
      <c r="D54" s="136">
        <f>SUM(D55:D66)</f>
        <v>58480000</v>
      </c>
      <c r="E54" s="608" t="s">
        <v>236</v>
      </c>
      <c r="F54" s="1152">
        <f>G54/D54*100</f>
        <v>35.957327564979479</v>
      </c>
      <c r="G54" s="1132">
        <f>G55+G56+G57+G58+G59+G60+G61+G62+G63+G64+G65+G66</f>
        <v>21027845.16</v>
      </c>
      <c r="H54" s="1142">
        <f>SUM(H55:H66)</f>
        <v>37452154.840000004</v>
      </c>
    </row>
    <row r="55" spans="1:9" ht="24">
      <c r="A55" s="151"/>
      <c r="B55" s="212" t="s">
        <v>4302</v>
      </c>
      <c r="C55" s="138" t="s">
        <v>4303</v>
      </c>
      <c r="D55" s="139">
        <v>4000000</v>
      </c>
      <c r="E55" s="609" t="s">
        <v>236</v>
      </c>
      <c r="F55" s="1153">
        <f>G55/D55*100</f>
        <v>64.347110749999999</v>
      </c>
      <c r="G55" s="1133">
        <v>2573884.4300000002</v>
      </c>
      <c r="H55" s="1143">
        <f>D55-G55</f>
        <v>1426115.5699999998</v>
      </c>
    </row>
    <row r="56" spans="1:9">
      <c r="A56" s="151"/>
      <c r="B56" s="212" t="s">
        <v>2746</v>
      </c>
      <c r="C56" s="150" t="s">
        <v>47</v>
      </c>
      <c r="D56" s="139">
        <v>0</v>
      </c>
      <c r="E56" s="609"/>
      <c r="F56" s="1153">
        <v>0</v>
      </c>
      <c r="G56" s="1133"/>
      <c r="H56" s="1143">
        <f>D56-G56</f>
        <v>0</v>
      </c>
    </row>
    <row r="57" spans="1:9">
      <c r="A57" s="151"/>
      <c r="B57" s="214" t="s">
        <v>2752</v>
      </c>
      <c r="C57" s="150" t="s">
        <v>41</v>
      </c>
      <c r="D57" s="139">
        <v>0</v>
      </c>
      <c r="E57" s="609"/>
      <c r="F57" s="1153">
        <v>0</v>
      </c>
      <c r="G57" s="1133">
        <v>9726.7800000000007</v>
      </c>
      <c r="H57" s="1143">
        <f t="shared" ref="H57:H66" si="8">D57-G57</f>
        <v>-9726.7800000000007</v>
      </c>
    </row>
    <row r="58" spans="1:9">
      <c r="A58" s="151"/>
      <c r="B58" s="214" t="s">
        <v>4541</v>
      </c>
      <c r="C58" s="150" t="s">
        <v>4543</v>
      </c>
      <c r="D58" s="139">
        <v>2850000</v>
      </c>
      <c r="E58" s="609" t="s">
        <v>236</v>
      </c>
      <c r="F58" s="1153">
        <f t="shared" ref="F58:F63" si="9">G58/D58*100</f>
        <v>98.673009473684218</v>
      </c>
      <c r="G58" s="1133">
        <v>2812180.77</v>
      </c>
      <c r="H58" s="1143">
        <f t="shared" si="8"/>
        <v>37819.229999999981</v>
      </c>
    </row>
    <row r="59" spans="1:9">
      <c r="A59" s="151"/>
      <c r="B59" s="214" t="s">
        <v>4542</v>
      </c>
      <c r="C59" s="150" t="s">
        <v>4544</v>
      </c>
      <c r="D59" s="139">
        <v>1300000</v>
      </c>
      <c r="E59" s="609" t="s">
        <v>236</v>
      </c>
      <c r="F59" s="1153">
        <f t="shared" si="9"/>
        <v>66.500180769230766</v>
      </c>
      <c r="G59" s="1133">
        <v>864502.35</v>
      </c>
      <c r="H59" s="1143">
        <f t="shared" si="8"/>
        <v>435497.65</v>
      </c>
    </row>
    <row r="60" spans="1:9" ht="57.75" customHeight="1">
      <c r="A60" s="151"/>
      <c r="B60" s="212" t="s">
        <v>2772</v>
      </c>
      <c r="C60" s="150" t="s">
        <v>3716</v>
      </c>
      <c r="D60" s="139">
        <v>47000000</v>
      </c>
      <c r="E60" s="609" t="s">
        <v>236</v>
      </c>
      <c r="F60" s="1153">
        <f t="shared" si="9"/>
        <v>24.076544319148937</v>
      </c>
      <c r="G60" s="1133">
        <v>11315975.83</v>
      </c>
      <c r="H60" s="1143">
        <f t="shared" si="8"/>
        <v>35684024.170000002</v>
      </c>
      <c r="I60" s="1336"/>
    </row>
    <row r="61" spans="1:9" ht="36">
      <c r="A61" s="151"/>
      <c r="B61" s="212" t="s">
        <v>2774</v>
      </c>
      <c r="C61" s="150" t="s">
        <v>3717</v>
      </c>
      <c r="D61" s="139">
        <v>0</v>
      </c>
      <c r="E61" s="609"/>
      <c r="F61" s="1153">
        <v>0</v>
      </c>
      <c r="G61" s="1133"/>
      <c r="H61" s="1143">
        <f t="shared" si="8"/>
        <v>0</v>
      </c>
    </row>
    <row r="62" spans="1:9" ht="24">
      <c r="A62" s="151"/>
      <c r="B62" s="212" t="s">
        <v>2776</v>
      </c>
      <c r="C62" s="150" t="s">
        <v>3718</v>
      </c>
      <c r="D62" s="139">
        <v>0</v>
      </c>
      <c r="E62" s="609"/>
      <c r="F62" s="1153">
        <v>0</v>
      </c>
      <c r="G62" s="1133"/>
      <c r="H62" s="1143">
        <f t="shared" si="8"/>
        <v>0</v>
      </c>
    </row>
    <row r="63" spans="1:9">
      <c r="A63" s="151"/>
      <c r="B63" s="212" t="s">
        <v>2778</v>
      </c>
      <c r="C63" s="150" t="s">
        <v>44</v>
      </c>
      <c r="D63" s="139">
        <v>3330000</v>
      </c>
      <c r="E63" s="609" t="s">
        <v>236</v>
      </c>
      <c r="F63" s="1153">
        <f t="shared" si="9"/>
        <v>103.65090090090089</v>
      </c>
      <c r="G63" s="1133">
        <v>3451575</v>
      </c>
      <c r="H63" s="1143">
        <f t="shared" si="8"/>
        <v>-121575</v>
      </c>
    </row>
    <row r="64" spans="1:9" ht="24">
      <c r="A64" s="151"/>
      <c r="B64" s="212" t="s">
        <v>2780</v>
      </c>
      <c r="C64" s="138" t="s">
        <v>3719</v>
      </c>
      <c r="D64" s="139">
        <v>0</v>
      </c>
      <c r="E64" s="609"/>
      <c r="F64" s="1153">
        <v>0</v>
      </c>
      <c r="G64" s="1133"/>
      <c r="H64" s="1143">
        <f t="shared" si="8"/>
        <v>0</v>
      </c>
    </row>
    <row r="65" spans="1:8">
      <c r="A65" s="151"/>
      <c r="B65" s="214" t="s">
        <v>2786</v>
      </c>
      <c r="C65" s="138" t="s">
        <v>45</v>
      </c>
      <c r="D65" s="139"/>
      <c r="E65" s="609"/>
      <c r="F65" s="1153">
        <v>0</v>
      </c>
      <c r="G65" s="1133"/>
      <c r="H65" s="1143">
        <f t="shared" si="8"/>
        <v>0</v>
      </c>
    </row>
    <row r="66" spans="1:8">
      <c r="A66" s="151"/>
      <c r="B66" s="214" t="s">
        <v>2790</v>
      </c>
      <c r="C66" s="138" t="s">
        <v>3720</v>
      </c>
      <c r="D66" s="139"/>
      <c r="E66" s="609"/>
      <c r="F66" s="1153">
        <f t="shared" ref="F66" si="10">IFERROR(D66/$D$105,"-")</f>
        <v>0</v>
      </c>
      <c r="G66" s="1133"/>
      <c r="H66" s="1143">
        <f t="shared" si="8"/>
        <v>0</v>
      </c>
    </row>
    <row r="67" spans="1:8">
      <c r="A67" s="144" t="s">
        <v>2813</v>
      </c>
      <c r="B67" s="145"/>
      <c r="C67" s="146" t="s">
        <v>3721</v>
      </c>
      <c r="D67" s="136">
        <f>SUM(D68:D75)</f>
        <v>9580000</v>
      </c>
      <c r="E67" s="608" t="s">
        <v>236</v>
      </c>
      <c r="F67" s="1152">
        <f>G67/D67*100</f>
        <v>68.616843006263039</v>
      </c>
      <c r="G67" s="1132">
        <f>G68+G69+G70+G71+G72+G73+G74+G75</f>
        <v>6573493.5599999996</v>
      </c>
      <c r="H67" s="1142">
        <f>SUM(H68:H75)</f>
        <v>3006506.4400000004</v>
      </c>
    </row>
    <row r="68" spans="1:8" ht="36">
      <c r="A68" s="151"/>
      <c r="B68" s="212" t="s">
        <v>4304</v>
      </c>
      <c r="C68" s="138" t="s">
        <v>4305</v>
      </c>
      <c r="D68" s="139">
        <v>30000</v>
      </c>
      <c r="E68" s="609" t="s">
        <v>236</v>
      </c>
      <c r="F68" s="1153">
        <f>G68/D68*100</f>
        <v>179.79893333333334</v>
      </c>
      <c r="G68" s="1133">
        <v>53939.68</v>
      </c>
      <c r="H68" s="1143">
        <f>D68-G68</f>
        <v>-23939.68</v>
      </c>
    </row>
    <row r="69" spans="1:8" ht="24">
      <c r="A69" s="151"/>
      <c r="B69" s="212" t="s">
        <v>4548</v>
      </c>
      <c r="C69" s="138" t="s">
        <v>4549</v>
      </c>
      <c r="D69" s="139">
        <v>4800000</v>
      </c>
      <c r="E69" s="609" t="s">
        <v>236</v>
      </c>
      <c r="F69" s="1153">
        <f t="shared" ref="F69:F75" si="11">G69/D69*100</f>
        <v>60.211458333333333</v>
      </c>
      <c r="G69" s="1133">
        <v>2890150</v>
      </c>
      <c r="H69" s="1143">
        <f t="shared" ref="H69:H75" si="12">D69-G69</f>
        <v>1909850</v>
      </c>
    </row>
    <row r="70" spans="1:8">
      <c r="A70" s="151"/>
      <c r="B70" s="211">
        <v>742251</v>
      </c>
      <c r="C70" s="150" t="s">
        <v>4306</v>
      </c>
      <c r="D70" s="139">
        <v>1400000</v>
      </c>
      <c r="E70" s="609" t="s">
        <v>236</v>
      </c>
      <c r="F70" s="1153">
        <f t="shared" si="11"/>
        <v>52.437142857142859</v>
      </c>
      <c r="G70" s="1133">
        <v>734120</v>
      </c>
      <c r="H70" s="1143">
        <f t="shared" si="12"/>
        <v>665880</v>
      </c>
    </row>
    <row r="71" spans="1:8">
      <c r="A71" s="151"/>
      <c r="B71" s="213">
        <v>742252</v>
      </c>
      <c r="C71" s="138" t="s">
        <v>49</v>
      </c>
      <c r="D71" s="139">
        <v>0</v>
      </c>
      <c r="E71" s="609"/>
      <c r="F71" s="1153">
        <v>0</v>
      </c>
      <c r="G71" s="1133"/>
      <c r="H71" s="1143">
        <f t="shared" si="12"/>
        <v>0</v>
      </c>
    </row>
    <row r="72" spans="1:8">
      <c r="A72" s="151"/>
      <c r="B72" s="211">
        <v>742253</v>
      </c>
      <c r="C72" s="150" t="s">
        <v>51</v>
      </c>
      <c r="D72" s="139">
        <v>1450000</v>
      </c>
      <c r="E72" s="609" t="s">
        <v>236</v>
      </c>
      <c r="F72" s="1153">
        <f t="shared" si="11"/>
        <v>65.181103448275863</v>
      </c>
      <c r="G72" s="1133">
        <v>945126</v>
      </c>
      <c r="H72" s="1143">
        <f t="shared" si="12"/>
        <v>504874</v>
      </c>
    </row>
    <row r="73" spans="1:8" ht="24">
      <c r="A73" s="151"/>
      <c r="B73" s="211">
        <v>742254</v>
      </c>
      <c r="C73" s="150" t="s">
        <v>3722</v>
      </c>
      <c r="D73" s="139">
        <v>0</v>
      </c>
      <c r="E73" s="609"/>
      <c r="F73" s="1153">
        <v>0</v>
      </c>
      <c r="G73" s="1133"/>
      <c r="H73" s="1143">
        <f t="shared" si="12"/>
        <v>0</v>
      </c>
    </row>
    <row r="74" spans="1:8">
      <c r="A74" s="151"/>
      <c r="B74" s="211">
        <v>742255</v>
      </c>
      <c r="C74" s="150" t="s">
        <v>4453</v>
      </c>
      <c r="D74" s="139">
        <v>1300000</v>
      </c>
      <c r="E74" s="609" t="s">
        <v>236</v>
      </c>
      <c r="F74" s="1153">
        <f t="shared" si="11"/>
        <v>103.19230769230769</v>
      </c>
      <c r="G74" s="1133">
        <v>1341500</v>
      </c>
      <c r="H74" s="1143">
        <f t="shared" si="12"/>
        <v>-41500</v>
      </c>
    </row>
    <row r="75" spans="1:8" ht="24">
      <c r="A75" s="151"/>
      <c r="B75" s="211">
        <v>742351</v>
      </c>
      <c r="C75" s="150" t="s">
        <v>4547</v>
      </c>
      <c r="D75" s="139">
        <v>600000</v>
      </c>
      <c r="E75" s="609" t="s">
        <v>236</v>
      </c>
      <c r="F75" s="1153">
        <f t="shared" si="11"/>
        <v>101.44298000000001</v>
      </c>
      <c r="G75" s="1133">
        <v>608657.88</v>
      </c>
      <c r="H75" s="1143">
        <f t="shared" si="12"/>
        <v>-8657.8800000000047</v>
      </c>
    </row>
    <row r="76" spans="1:8" ht="23.25" customHeight="1">
      <c r="A76" s="144" t="s">
        <v>2917</v>
      </c>
      <c r="B76" s="145"/>
      <c r="C76" s="146" t="s">
        <v>3723</v>
      </c>
      <c r="D76" s="136">
        <f>SUM(D77:D78)</f>
        <v>8000000</v>
      </c>
      <c r="E76" s="608" t="s">
        <v>236</v>
      </c>
      <c r="F76" s="1152">
        <f>G76/D76*100</f>
        <v>44.355874874999998</v>
      </c>
      <c r="G76" s="1132">
        <f>G77+G78</f>
        <v>3548469.99</v>
      </c>
      <c r="H76" s="1142">
        <f>SUM(H77:H78)</f>
        <v>4451530.01</v>
      </c>
    </row>
    <row r="77" spans="1:8" ht="24">
      <c r="A77" s="151"/>
      <c r="B77" s="214" t="s">
        <v>2941</v>
      </c>
      <c r="C77" s="138" t="s">
        <v>3724</v>
      </c>
      <c r="D77" s="139">
        <v>8000000</v>
      </c>
      <c r="E77" s="609" t="s">
        <v>236</v>
      </c>
      <c r="F77" s="1153">
        <f>G77/D77*100</f>
        <v>44.259374874999999</v>
      </c>
      <c r="G77" s="1133">
        <v>3540749.99</v>
      </c>
      <c r="H77" s="1143">
        <f>D77-G77</f>
        <v>4459250.01</v>
      </c>
    </row>
    <row r="78" spans="1:8">
      <c r="A78" s="151"/>
      <c r="B78" s="212" t="s">
        <v>4307</v>
      </c>
      <c r="C78" s="138" t="s">
        <v>4308</v>
      </c>
      <c r="D78" s="139">
        <v>0</v>
      </c>
      <c r="E78" s="609"/>
      <c r="F78" s="1153">
        <f t="shared" ref="F78:F103" si="13">IFERROR(D78/$D$105,"-")</f>
        <v>0</v>
      </c>
      <c r="G78" s="1133">
        <v>7720</v>
      </c>
      <c r="H78" s="1143">
        <f>D78-G78</f>
        <v>-7720</v>
      </c>
    </row>
    <row r="79" spans="1:8" ht="24">
      <c r="A79" s="144" t="s">
        <v>2990</v>
      </c>
      <c r="B79" s="145"/>
      <c r="C79" s="146" t="s">
        <v>3725</v>
      </c>
      <c r="D79" s="136">
        <f>SUM(D80:D81)</f>
        <v>3700000</v>
      </c>
      <c r="E79" s="608" t="s">
        <v>250</v>
      </c>
      <c r="F79" s="1152">
        <f>G79/D79*100</f>
        <v>96.648648648648646</v>
      </c>
      <c r="G79" s="1132">
        <f>G80+G81</f>
        <v>3576000</v>
      </c>
      <c r="H79" s="1142">
        <f>SUM(H80:H81)</f>
        <v>124000</v>
      </c>
    </row>
    <row r="80" spans="1:8" ht="24">
      <c r="A80" s="151"/>
      <c r="B80" s="212" t="s">
        <v>2999</v>
      </c>
      <c r="C80" s="138" t="s">
        <v>3726</v>
      </c>
      <c r="D80" s="139"/>
      <c r="E80" s="609"/>
      <c r="F80" s="1160">
        <v>0</v>
      </c>
      <c r="G80" s="1133"/>
      <c r="H80" s="1143">
        <f>D80-G80</f>
        <v>0</v>
      </c>
    </row>
    <row r="81" spans="1:8" ht="24">
      <c r="A81" s="151"/>
      <c r="B81" s="212" t="s">
        <v>4667</v>
      </c>
      <c r="C81" s="138" t="s">
        <v>4666</v>
      </c>
      <c r="D81" s="139">
        <v>3700000</v>
      </c>
      <c r="E81" s="609" t="s">
        <v>250</v>
      </c>
      <c r="F81" s="1160">
        <f>G81/D81*100</f>
        <v>96.648648648648646</v>
      </c>
      <c r="G81" s="1133">
        <v>3576000</v>
      </c>
      <c r="H81" s="1143">
        <f>D81-G81</f>
        <v>124000</v>
      </c>
    </row>
    <row r="82" spans="1:8">
      <c r="A82" s="144" t="s">
        <v>3017</v>
      </c>
      <c r="B82" s="145"/>
      <c r="C82" s="146" t="s">
        <v>3727</v>
      </c>
      <c r="D82" s="136">
        <f>D83+D84+D85+D86+D87</f>
        <v>4300000</v>
      </c>
      <c r="E82" s="608" t="s">
        <v>236</v>
      </c>
      <c r="F82" s="1152">
        <f>G82/D82*100</f>
        <v>9.1000295348837223</v>
      </c>
      <c r="G82" s="1132">
        <f>G83+G84+G85+G86+G87</f>
        <v>391301.27</v>
      </c>
      <c r="H82" s="1142">
        <f>SUM(H83:H87)</f>
        <v>3908698.73</v>
      </c>
    </row>
    <row r="83" spans="1:8">
      <c r="A83" s="151"/>
      <c r="B83" s="212" t="s">
        <v>4309</v>
      </c>
      <c r="C83" s="150" t="s">
        <v>4310</v>
      </c>
      <c r="D83" s="139">
        <v>4000000</v>
      </c>
      <c r="E83" s="609" t="s">
        <v>236</v>
      </c>
      <c r="F83" s="1153">
        <f>G83/D83*100</f>
        <v>9.6644567499999994</v>
      </c>
      <c r="G83" s="1133">
        <v>386578.27</v>
      </c>
      <c r="H83" s="1143">
        <f>D83-G83</f>
        <v>3613421.73</v>
      </c>
    </row>
    <row r="84" spans="1:8" ht="24">
      <c r="A84" s="151"/>
      <c r="B84" s="212" t="s">
        <v>4545</v>
      </c>
      <c r="C84" s="150" t="s">
        <v>4546</v>
      </c>
      <c r="D84" s="139">
        <v>300000</v>
      </c>
      <c r="E84" s="609" t="s">
        <v>236</v>
      </c>
      <c r="F84" s="1153">
        <f>G84/D84*100</f>
        <v>0</v>
      </c>
      <c r="G84" s="1133">
        <v>0</v>
      </c>
      <c r="H84" s="1143">
        <f t="shared" ref="H84:H87" si="14">D84-G84</f>
        <v>300000</v>
      </c>
    </row>
    <row r="85" spans="1:8">
      <c r="A85" s="151"/>
      <c r="B85" s="212" t="s">
        <v>3040</v>
      </c>
      <c r="C85" s="150" t="s">
        <v>3749</v>
      </c>
      <c r="D85" s="139"/>
      <c r="E85" s="609"/>
      <c r="F85" s="1153">
        <f t="shared" si="13"/>
        <v>0</v>
      </c>
      <c r="G85" s="1133"/>
      <c r="H85" s="1143">
        <f t="shared" si="14"/>
        <v>0</v>
      </c>
    </row>
    <row r="86" spans="1:8" ht="24">
      <c r="A86" s="151"/>
      <c r="B86" s="212" t="s">
        <v>3042</v>
      </c>
      <c r="C86" s="150" t="s">
        <v>3750</v>
      </c>
      <c r="D86" s="139"/>
      <c r="E86" s="609"/>
      <c r="F86" s="1153"/>
      <c r="G86" s="1133"/>
      <c r="H86" s="1133"/>
    </row>
    <row r="87" spans="1:8">
      <c r="A87" s="151"/>
      <c r="B87" s="212" t="s">
        <v>4714</v>
      </c>
      <c r="C87" s="150" t="s">
        <v>4715</v>
      </c>
      <c r="D87" s="139"/>
      <c r="E87" s="609"/>
      <c r="F87" s="1153">
        <f t="shared" si="13"/>
        <v>0</v>
      </c>
      <c r="G87" s="1133">
        <v>4723</v>
      </c>
      <c r="H87" s="1143">
        <f t="shared" si="14"/>
        <v>-4723</v>
      </c>
    </row>
    <row r="88" spans="1:8">
      <c r="A88" s="154" t="s">
        <v>3056</v>
      </c>
      <c r="B88" s="155"/>
      <c r="C88" s="156" t="s">
        <v>3728</v>
      </c>
      <c r="D88" s="157">
        <f>SUM(D89)</f>
        <v>0</v>
      </c>
      <c r="E88" s="610"/>
      <c r="F88" s="1154">
        <f t="shared" si="13"/>
        <v>0</v>
      </c>
      <c r="G88" s="1134"/>
      <c r="H88" s="1144">
        <f>SUM(H89)</f>
        <v>0</v>
      </c>
    </row>
    <row r="89" spans="1:8">
      <c r="A89" s="151"/>
      <c r="B89" s="214" t="s">
        <v>3058</v>
      </c>
      <c r="C89" s="150" t="s">
        <v>58</v>
      </c>
      <c r="D89" s="139"/>
      <c r="E89" s="609"/>
      <c r="F89" s="1153">
        <f t="shared" si="13"/>
        <v>0</v>
      </c>
      <c r="G89" s="1133"/>
      <c r="H89" s="1143">
        <f>D89-G89</f>
        <v>0</v>
      </c>
    </row>
    <row r="90" spans="1:8">
      <c r="A90" s="154" t="s">
        <v>3088</v>
      </c>
      <c r="B90" s="155"/>
      <c r="C90" s="156" t="s">
        <v>3729</v>
      </c>
      <c r="D90" s="157">
        <f>SUM(D91)</f>
        <v>0</v>
      </c>
      <c r="E90" s="610"/>
      <c r="F90" s="1154">
        <f t="shared" si="13"/>
        <v>0</v>
      </c>
      <c r="G90" s="1134"/>
      <c r="H90" s="1144">
        <f>SUM(H91)</f>
        <v>0</v>
      </c>
    </row>
    <row r="91" spans="1:8">
      <c r="A91" s="151"/>
      <c r="B91" s="143" t="s">
        <v>3090</v>
      </c>
      <c r="C91" s="150" t="s">
        <v>237</v>
      </c>
      <c r="D91" s="139"/>
      <c r="E91" s="609"/>
      <c r="F91" s="1153">
        <f t="shared" si="13"/>
        <v>0</v>
      </c>
      <c r="G91" s="1133"/>
      <c r="H91" s="1143">
        <f>D91-G91</f>
        <v>0</v>
      </c>
    </row>
    <row r="92" spans="1:8">
      <c r="A92" s="158" t="s">
        <v>3091</v>
      </c>
      <c r="B92" s="159"/>
      <c r="C92" s="160" t="s">
        <v>3730</v>
      </c>
      <c r="D92" s="161">
        <f>D93+D96</f>
        <v>98300000</v>
      </c>
      <c r="E92" s="611" t="s">
        <v>251</v>
      </c>
      <c r="F92" s="1155">
        <f>G92/D92*100</f>
        <v>7.5892470193285861</v>
      </c>
      <c r="G92" s="1135">
        <f>G93+G96</f>
        <v>7460229.8200000003</v>
      </c>
      <c r="H92" s="1145">
        <f>H93+H96</f>
        <v>90839770.180000007</v>
      </c>
    </row>
    <row r="93" spans="1:8">
      <c r="A93" s="162">
        <v>810000</v>
      </c>
      <c r="B93" s="155"/>
      <c r="C93" s="163" t="s">
        <v>3731</v>
      </c>
      <c r="D93" s="157">
        <f>SUM(D94:D95)</f>
        <v>1800000</v>
      </c>
      <c r="E93" s="610" t="s">
        <v>251</v>
      </c>
      <c r="F93" s="1154">
        <f t="shared" si="13"/>
        <v>2.158040499226702E-3</v>
      </c>
      <c r="G93" s="1134">
        <f>G94+G95</f>
        <v>0</v>
      </c>
      <c r="H93" s="1144">
        <f>SUM(H94:H95)</f>
        <v>1800000</v>
      </c>
    </row>
    <row r="94" spans="1:8">
      <c r="A94" s="151"/>
      <c r="B94" s="153">
        <v>811000</v>
      </c>
      <c r="C94" s="153" t="s">
        <v>3732</v>
      </c>
      <c r="D94" s="139">
        <v>0</v>
      </c>
      <c r="E94" s="609"/>
      <c r="F94" s="1153">
        <f t="shared" si="13"/>
        <v>0</v>
      </c>
      <c r="G94" s="1133"/>
      <c r="H94" s="1143">
        <f>D94-G94</f>
        <v>0</v>
      </c>
    </row>
    <row r="95" spans="1:8">
      <c r="A95" s="151"/>
      <c r="B95" s="153">
        <v>812000</v>
      </c>
      <c r="C95" s="153" t="s">
        <v>3733</v>
      </c>
      <c r="D95" s="139">
        <v>1800000</v>
      </c>
      <c r="E95" s="609" t="s">
        <v>251</v>
      </c>
      <c r="F95" s="1153">
        <f t="shared" si="13"/>
        <v>2.158040499226702E-3</v>
      </c>
      <c r="G95" s="1133">
        <v>0</v>
      </c>
      <c r="H95" s="1143">
        <f>D95-G95</f>
        <v>1800000</v>
      </c>
    </row>
    <row r="96" spans="1:8">
      <c r="A96" s="162">
        <v>840000</v>
      </c>
      <c r="B96" s="164"/>
      <c r="C96" s="165" t="s">
        <v>4315</v>
      </c>
      <c r="D96" s="166">
        <f>SUM(D97)</f>
        <v>96500000</v>
      </c>
      <c r="E96" s="612" t="s">
        <v>251</v>
      </c>
      <c r="F96" s="1156">
        <f>G96/D96*100</f>
        <v>7.7308081036269432</v>
      </c>
      <c r="G96" s="1136">
        <f>SUM(G97)</f>
        <v>7460229.8200000003</v>
      </c>
      <c r="H96" s="1146">
        <f>SUM(H97)</f>
        <v>89039770.180000007</v>
      </c>
    </row>
    <row r="97" spans="1:8">
      <c r="A97" s="151"/>
      <c r="B97" s="153">
        <v>841000</v>
      </c>
      <c r="C97" s="153" t="s">
        <v>4314</v>
      </c>
      <c r="D97" s="139">
        <v>96500000</v>
      </c>
      <c r="E97" s="609" t="s">
        <v>251</v>
      </c>
      <c r="F97" s="1153">
        <f>G97/D97*100</f>
        <v>7.7308081036269432</v>
      </c>
      <c r="G97" s="1133">
        <v>7460229.8200000003</v>
      </c>
      <c r="H97" s="1143">
        <f>D97-G97</f>
        <v>89039770.180000007</v>
      </c>
    </row>
    <row r="98" spans="1:8" hidden="1">
      <c r="A98" s="158" t="s">
        <v>3217</v>
      </c>
      <c r="B98" s="167"/>
      <c r="C98" s="168" t="s">
        <v>3734</v>
      </c>
      <c r="D98" s="161">
        <f>SUM(D99,D102)</f>
        <v>0</v>
      </c>
      <c r="E98" s="611"/>
      <c r="F98" s="1157">
        <f t="shared" si="13"/>
        <v>0</v>
      </c>
      <c r="G98" s="1135">
        <f>SUM(G99,G102)</f>
        <v>0</v>
      </c>
      <c r="H98" s="1145">
        <f>SUM(H99,H102)</f>
        <v>0</v>
      </c>
    </row>
    <row r="99" spans="1:8" hidden="1">
      <c r="A99" s="154" t="s">
        <v>3219</v>
      </c>
      <c r="B99" s="155"/>
      <c r="C99" s="156" t="s">
        <v>3735</v>
      </c>
      <c r="D99" s="157">
        <f>SUM(D100:D101)</f>
        <v>0</v>
      </c>
      <c r="E99" s="610"/>
      <c r="F99" s="1154">
        <f t="shared" si="13"/>
        <v>0</v>
      </c>
      <c r="G99" s="1134">
        <f>SUM(G100:G101)</f>
        <v>0</v>
      </c>
      <c r="H99" s="1144">
        <f>SUM(H100:H101)</f>
        <v>0</v>
      </c>
    </row>
    <row r="100" spans="1:8" ht="24" hidden="1">
      <c r="A100" s="143"/>
      <c r="B100" s="143" t="s">
        <v>3259</v>
      </c>
      <c r="C100" s="138" t="s">
        <v>3736</v>
      </c>
      <c r="D100" s="139"/>
      <c r="E100" s="609"/>
      <c r="F100" s="1153">
        <f t="shared" si="13"/>
        <v>0</v>
      </c>
      <c r="G100" s="1133"/>
      <c r="H100" s="1143">
        <f>D100+G100</f>
        <v>0</v>
      </c>
    </row>
    <row r="101" spans="1:8" hidden="1">
      <c r="A101" s="151"/>
      <c r="B101" s="143" t="s">
        <v>3737</v>
      </c>
      <c r="C101" s="150" t="s">
        <v>3738</v>
      </c>
      <c r="D101" s="139"/>
      <c r="E101" s="609"/>
      <c r="F101" s="1153">
        <f t="shared" si="13"/>
        <v>0</v>
      </c>
      <c r="G101" s="1133"/>
      <c r="H101" s="1143">
        <f>D101+G101</f>
        <v>0</v>
      </c>
    </row>
    <row r="102" spans="1:8" hidden="1">
      <c r="A102" s="154" t="s">
        <v>3389</v>
      </c>
      <c r="B102" s="155"/>
      <c r="C102" s="156" t="s">
        <v>3739</v>
      </c>
      <c r="D102" s="157">
        <f>SUM(D103)</f>
        <v>0</v>
      </c>
      <c r="E102" s="610"/>
      <c r="F102" s="1154">
        <f t="shared" si="13"/>
        <v>0</v>
      </c>
      <c r="G102" s="1134">
        <f>SUM(G103)</f>
        <v>0</v>
      </c>
      <c r="H102" s="1144">
        <f>SUM(H103)</f>
        <v>0</v>
      </c>
    </row>
    <row r="103" spans="1:8" ht="24" hidden="1">
      <c r="A103" s="151"/>
      <c r="B103" s="143" t="s">
        <v>3481</v>
      </c>
      <c r="C103" s="142" t="s">
        <v>3740</v>
      </c>
      <c r="D103" s="139"/>
      <c r="E103" s="609"/>
      <c r="F103" s="1153">
        <f t="shared" si="13"/>
        <v>0</v>
      </c>
      <c r="G103" s="1133"/>
      <c r="H103" s="1143">
        <f>D103+G103</f>
        <v>0</v>
      </c>
    </row>
    <row r="104" spans="1:8" ht="33.75" customHeight="1">
      <c r="A104" s="169"/>
      <c r="B104" s="169" t="s">
        <v>3741</v>
      </c>
      <c r="C104" s="170" t="s">
        <v>3742</v>
      </c>
      <c r="D104" s="125">
        <f>SUM(D4,D92,D98)</f>
        <v>743090000</v>
      </c>
      <c r="E104" s="605"/>
      <c r="F104" s="1149">
        <f>G104/D104*100</f>
        <v>59.011211873393542</v>
      </c>
      <c r="G104" s="1129">
        <f>SUM(G4,G92,G98)</f>
        <v>438506414.31000006</v>
      </c>
      <c r="H104" s="1139">
        <f>SUM(H4,H92,H98)</f>
        <v>304583585.69</v>
      </c>
    </row>
    <row r="105" spans="1:8" ht="40.5" customHeight="1">
      <c r="A105" s="174"/>
      <c r="B105" s="175" t="s">
        <v>3743</v>
      </c>
      <c r="C105" s="176" t="s">
        <v>4017</v>
      </c>
      <c r="D105" s="177">
        <f>SUM(D3,D4,D92,D98)</f>
        <v>834090000</v>
      </c>
      <c r="E105" s="613"/>
      <c r="F105" s="1158">
        <f>G105/D105*100</f>
        <v>63.438695725880912</v>
      </c>
      <c r="G105" s="1137">
        <f>SUM(G3,G4,G92,G98)</f>
        <v>529135817.18000007</v>
      </c>
      <c r="H105" s="1147">
        <f>D105-G105</f>
        <v>304954182.81999993</v>
      </c>
    </row>
    <row r="106" spans="1:8">
      <c r="A106" s="171"/>
      <c r="B106" s="171"/>
      <c r="C106" s="172"/>
      <c r="D106" s="173"/>
      <c r="E106" s="173"/>
      <c r="F106" s="1159"/>
      <c r="G106" s="1138"/>
      <c r="H106" s="1138"/>
    </row>
    <row r="107" spans="1:8">
      <c r="D107" s="417">
        <f>D105-'По основ. нам.'!C88</f>
        <v>0</v>
      </c>
      <c r="E107" s="417"/>
      <c r="G107" s="683">
        <f>G105-'По основ. нам.'!E88</f>
        <v>122579686.02000004</v>
      </c>
      <c r="H107" s="683">
        <f>H105-Ukupno_izdaci</f>
        <v>-122579686.02000004</v>
      </c>
    </row>
  </sheetData>
  <mergeCells count="5">
    <mergeCell ref="D1:G1"/>
    <mergeCell ref="H1:H2"/>
    <mergeCell ref="A1:A2"/>
    <mergeCell ref="B1:B2"/>
    <mergeCell ref="C1:C2"/>
  </mergeCells>
  <conditionalFormatting sqref="D107:H107">
    <cfRule type="cellIs" dxfId="4" priority="1" operator="lessThan">
      <formula>0</formula>
    </cfRule>
  </conditionalFormatting>
  <pageMargins left="0.24" right="0.32"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tabColor theme="1"/>
  </sheetPr>
  <dimension ref="A1:I101"/>
  <sheetViews>
    <sheetView topLeftCell="C1" workbookViewId="0">
      <selection activeCell="L7" sqref="L7"/>
    </sheetView>
  </sheetViews>
  <sheetFormatPr defaultRowHeight="15"/>
  <cols>
    <col min="1" max="1" width="8.5703125" style="184" hidden="1" customWidth="1"/>
    <col min="2" max="2" width="6.7109375" style="678" hidden="1" customWidth="1"/>
    <col min="3" max="3" width="42.85546875" style="246" customWidth="1"/>
    <col min="4" max="4" width="15.42578125" style="246" customWidth="1"/>
    <col min="5" max="5" width="21.140625" style="122" customWidth="1"/>
    <col min="6" max="6" width="15.5703125" style="122" customWidth="1"/>
    <col min="7" max="7" width="14" style="122" customWidth="1"/>
    <col min="8" max="8" width="16.5703125" style="684" customWidth="1"/>
    <col min="9" max="16384" width="9.140625" style="85"/>
  </cols>
  <sheetData>
    <row r="1" spans="1:9" ht="15" customHeight="1">
      <c r="A1" s="1214" t="s">
        <v>4620</v>
      </c>
      <c r="B1" s="1214"/>
      <c r="C1" s="1214"/>
      <c r="D1" s="1214"/>
      <c r="E1" s="1214"/>
      <c r="F1" s="1214"/>
      <c r="G1" s="1214"/>
      <c r="H1" s="647"/>
    </row>
    <row r="3" spans="1:9" ht="25.5" customHeight="1">
      <c r="A3" s="693" t="s">
        <v>3851</v>
      </c>
      <c r="B3" s="1215" t="s">
        <v>3852</v>
      </c>
      <c r="C3" s="1217" t="s">
        <v>266</v>
      </c>
      <c r="D3" s="1220" t="s">
        <v>4619</v>
      </c>
      <c r="E3" s="1221"/>
      <c r="F3" s="1221"/>
      <c r="G3" s="1222"/>
      <c r="H3" s="1212" t="s">
        <v>4603</v>
      </c>
    </row>
    <row r="4" spans="1:9" ht="22.5" customHeight="1">
      <c r="A4" s="693" t="s">
        <v>3853</v>
      </c>
      <c r="B4" s="1216"/>
      <c r="C4" s="1217"/>
      <c r="D4" s="646" t="s">
        <v>4601</v>
      </c>
      <c r="E4" s="120">
        <v>2018</v>
      </c>
      <c r="F4" s="120">
        <v>2019</v>
      </c>
      <c r="G4" s="120">
        <v>2020</v>
      </c>
      <c r="H4" s="1213"/>
    </row>
    <row r="5" spans="1:9" ht="15.75">
      <c r="A5" s="694">
        <v>1</v>
      </c>
      <c r="B5" s="677">
        <v>2</v>
      </c>
      <c r="C5" s="244">
        <v>3</v>
      </c>
      <c r="D5" s="244" t="s">
        <v>4602</v>
      </c>
      <c r="E5" s="121">
        <v>5</v>
      </c>
      <c r="F5" s="121">
        <v>6</v>
      </c>
      <c r="G5" s="121">
        <v>7</v>
      </c>
      <c r="H5" s="685">
        <v>8</v>
      </c>
    </row>
    <row r="6" spans="1:9" ht="15.75">
      <c r="A6" s="1218"/>
      <c r="B6" s="1219"/>
      <c r="C6" s="682" t="s">
        <v>4595</v>
      </c>
      <c r="D6" s="703">
        <f>D7+D11+D14+D17+D22+D25+D28+D31+D34+D37+D40+D43+D48+D52+D55+D59+D64+D68+D72+D75+D79+D83+D86+D90</f>
        <v>65200000</v>
      </c>
      <c r="E6" s="703">
        <f t="shared" ref="E6:G6" si="0">E7+E11+E14+E17+E22+E25+E28+E31+E34+E37+E40+E43+E48+E52+E55+E59+E64+E68+E72+E75+E79+E83+E86+E90</f>
        <v>385750000</v>
      </c>
      <c r="F6" s="703">
        <f t="shared" si="0"/>
        <v>12000000</v>
      </c>
      <c r="G6" s="703">
        <f t="shared" si="0"/>
        <v>0</v>
      </c>
      <c r="H6" s="703">
        <f>SUM(D6:G6)</f>
        <v>462950000</v>
      </c>
    </row>
    <row r="7" spans="1:9" ht="63">
      <c r="A7" s="793"/>
      <c r="B7" s="794"/>
      <c r="C7" s="687" t="s">
        <v>4682</v>
      </c>
      <c r="D7" s="705"/>
      <c r="E7" s="706">
        <f>E9+E10</f>
        <v>36500000</v>
      </c>
      <c r="F7" s="706">
        <f>SUM(F10:F10)</f>
        <v>0</v>
      </c>
      <c r="G7" s="706">
        <f>SUM(G10:G10)</f>
        <v>0</v>
      </c>
      <c r="H7" s="707">
        <f>H9+H10</f>
        <v>36500000</v>
      </c>
      <c r="I7" s="795"/>
    </row>
    <row r="8" spans="1:9" ht="15.75">
      <c r="A8" s="793"/>
      <c r="B8" s="794"/>
      <c r="C8" s="245" t="s">
        <v>3854</v>
      </c>
      <c r="D8" s="708"/>
      <c r="E8" s="709"/>
      <c r="F8" s="710"/>
      <c r="G8" s="710"/>
      <c r="H8" s="180"/>
      <c r="I8" s="795"/>
    </row>
    <row r="9" spans="1:9" ht="15.75">
      <c r="A9" s="793"/>
      <c r="B9" s="794"/>
      <c r="C9" s="247" t="s">
        <v>3856</v>
      </c>
      <c r="D9" s="708"/>
      <c r="E9" s="709">
        <v>30100000</v>
      </c>
      <c r="F9" s="710"/>
      <c r="G9" s="710"/>
      <c r="H9" s="689">
        <f>SUM(D9:G9)</f>
        <v>30100000</v>
      </c>
      <c r="I9" s="795"/>
    </row>
    <row r="10" spans="1:9" ht="15.75">
      <c r="A10" s="793"/>
      <c r="B10" s="794"/>
      <c r="C10" s="245" t="s">
        <v>4627</v>
      </c>
      <c r="D10" s="711"/>
      <c r="E10" s="709">
        <v>6400000</v>
      </c>
      <c r="F10" s="712"/>
      <c r="G10" s="712"/>
      <c r="H10" s="689">
        <f>SUM(D10:G10)</f>
        <v>6400000</v>
      </c>
      <c r="I10" s="795"/>
    </row>
    <row r="11" spans="1:9" ht="31.5">
      <c r="A11" s="793"/>
      <c r="B11" s="794"/>
      <c r="C11" s="687" t="s">
        <v>4683</v>
      </c>
      <c r="D11" s="705"/>
      <c r="E11" s="706">
        <f>SUM(E13:E13)</f>
        <v>3700000</v>
      </c>
      <c r="F11" s="706">
        <f>SUM(F13:F13)</f>
        <v>0</v>
      </c>
      <c r="G11" s="706">
        <f>SUM(G13:G13)</f>
        <v>0</v>
      </c>
      <c r="H11" s="707">
        <f>SUM(D11:G11)</f>
        <v>3700000</v>
      </c>
      <c r="I11" s="795"/>
    </row>
    <row r="12" spans="1:9" ht="15.75">
      <c r="A12" s="793"/>
      <c r="B12" s="794"/>
      <c r="C12" s="245" t="s">
        <v>3854</v>
      </c>
      <c r="D12" s="708"/>
      <c r="E12" s="709"/>
      <c r="F12" s="710"/>
      <c r="G12" s="710"/>
      <c r="H12" s="180"/>
      <c r="I12" s="795"/>
    </row>
    <row r="13" spans="1:9" ht="15.75">
      <c r="A13" s="793"/>
      <c r="B13" s="794"/>
      <c r="C13" s="245" t="s">
        <v>4684</v>
      </c>
      <c r="D13" s="711"/>
      <c r="E13" s="709">
        <v>3700000</v>
      </c>
      <c r="F13" s="712"/>
      <c r="G13" s="712"/>
      <c r="H13" s="689">
        <f>SUM(D13:G13)</f>
        <v>3700000</v>
      </c>
      <c r="I13" s="795"/>
    </row>
    <row r="14" spans="1:9" ht="38.25" customHeight="1">
      <c r="A14" s="695">
        <v>511</v>
      </c>
      <c r="B14" s="686">
        <v>1</v>
      </c>
      <c r="C14" s="687" t="s">
        <v>4600</v>
      </c>
      <c r="D14" s="705"/>
      <c r="E14" s="706">
        <f>SUM(E16:E16)</f>
        <v>4800000</v>
      </c>
      <c r="F14" s="706">
        <f>SUM(F16:F16)</f>
        <v>0</v>
      </c>
      <c r="G14" s="706">
        <f>SUM(G16:G16)</f>
        <v>0</v>
      </c>
      <c r="H14" s="799">
        <f>SUM(D14:G14)</f>
        <v>4800000</v>
      </c>
      <c r="I14" s="795"/>
    </row>
    <row r="15" spans="1:9" ht="14.25" customHeight="1">
      <c r="A15" s="694"/>
      <c r="B15" s="677"/>
      <c r="C15" s="245" t="s">
        <v>3854</v>
      </c>
      <c r="D15" s="708"/>
      <c r="E15" s="709"/>
      <c r="F15" s="710"/>
      <c r="G15" s="710"/>
      <c r="H15" s="800"/>
      <c r="I15" s="795"/>
    </row>
    <row r="16" spans="1:9" ht="14.25" customHeight="1">
      <c r="A16" s="694"/>
      <c r="B16" s="677"/>
      <c r="C16" s="245" t="s">
        <v>4627</v>
      </c>
      <c r="D16" s="711"/>
      <c r="E16" s="709">
        <v>4800000</v>
      </c>
      <c r="F16" s="712"/>
      <c r="G16" s="712"/>
      <c r="H16" s="801">
        <f>SUM(D16:G16)</f>
        <v>4800000</v>
      </c>
      <c r="I16" s="795"/>
    </row>
    <row r="17" spans="1:9" ht="38.25" customHeight="1">
      <c r="A17" s="695">
        <v>511</v>
      </c>
      <c r="B17" s="686">
        <v>2</v>
      </c>
      <c r="C17" s="687" t="s">
        <v>4606</v>
      </c>
      <c r="D17" s="706">
        <f>SUM(D19:D21)</f>
        <v>14000000</v>
      </c>
      <c r="E17" s="706">
        <f>SUM(E19:E21)</f>
        <v>5100000</v>
      </c>
      <c r="F17" s="706">
        <f>SUM(F19:F21)</f>
        <v>0</v>
      </c>
      <c r="G17" s="706">
        <f>SUM(G19:G21)</f>
        <v>0</v>
      </c>
      <c r="H17" s="802">
        <f>SUM(D17:G17)</f>
        <v>19100000</v>
      </c>
      <c r="I17" s="795"/>
    </row>
    <row r="18" spans="1:9" ht="15.75">
      <c r="A18" s="694"/>
      <c r="B18" s="677"/>
      <c r="C18" s="247" t="s">
        <v>3854</v>
      </c>
      <c r="D18" s="714"/>
      <c r="E18" s="709"/>
      <c r="F18" s="709"/>
      <c r="G18" s="709"/>
      <c r="H18" s="800"/>
      <c r="I18" s="795"/>
    </row>
    <row r="19" spans="1:9" ht="15.75">
      <c r="A19" s="694"/>
      <c r="B19" s="677"/>
      <c r="C19" s="247" t="s">
        <v>4627</v>
      </c>
      <c r="D19" s="714">
        <v>8500000</v>
      </c>
      <c r="E19" s="709"/>
      <c r="F19" s="709">
        <v>0</v>
      </c>
      <c r="G19" s="709">
        <v>0</v>
      </c>
      <c r="H19" s="801">
        <f>SUM(D19:G19)</f>
        <v>8500000</v>
      </c>
      <c r="I19" s="795"/>
    </row>
    <row r="20" spans="1:9" ht="15.75">
      <c r="A20" s="694"/>
      <c r="B20" s="677"/>
      <c r="C20" s="247" t="s">
        <v>4624</v>
      </c>
      <c r="D20" s="714"/>
      <c r="E20" s="709">
        <v>3100000</v>
      </c>
      <c r="F20" s="709"/>
      <c r="G20" s="709"/>
      <c r="H20" s="801">
        <f>SUM(D20:G20)</f>
        <v>3100000</v>
      </c>
      <c r="I20" s="795"/>
    </row>
    <row r="21" spans="1:9" ht="15.75">
      <c r="A21" s="694"/>
      <c r="B21" s="677"/>
      <c r="C21" s="247" t="s">
        <v>3856</v>
      </c>
      <c r="D21" s="714">
        <v>5500000</v>
      </c>
      <c r="E21" s="709">
        <v>2000000</v>
      </c>
      <c r="F21" s="709"/>
      <c r="G21" s="709"/>
      <c r="H21" s="801">
        <f>SUM(D21:G21)</f>
        <v>7500000</v>
      </c>
      <c r="I21" s="795"/>
    </row>
    <row r="22" spans="1:9" ht="31.5">
      <c r="A22" s="695">
        <v>541</v>
      </c>
      <c r="B22" s="686">
        <v>3</v>
      </c>
      <c r="C22" s="687" t="s">
        <v>4604</v>
      </c>
      <c r="D22" s="705">
        <f>D24</f>
        <v>7000000</v>
      </c>
      <c r="E22" s="706">
        <v>4000000</v>
      </c>
      <c r="F22" s="706">
        <v>3000000</v>
      </c>
      <c r="G22" s="706">
        <f>SUM(G24:G24)</f>
        <v>0</v>
      </c>
      <c r="H22" s="799">
        <f>SUM(D22:G22)</f>
        <v>14000000</v>
      </c>
      <c r="I22" s="795"/>
    </row>
    <row r="23" spans="1:9" ht="15.75">
      <c r="A23" s="694"/>
      <c r="B23" s="677"/>
      <c r="C23" s="247" t="s">
        <v>3854</v>
      </c>
      <c r="D23" s="714"/>
      <c r="E23" s="709"/>
      <c r="F23" s="709"/>
      <c r="G23" s="709"/>
      <c r="H23" s="800"/>
      <c r="I23" s="795"/>
    </row>
    <row r="24" spans="1:9" ht="15.75">
      <c r="A24" s="694"/>
      <c r="B24" s="677"/>
      <c r="C24" s="247" t="s">
        <v>4627</v>
      </c>
      <c r="D24" s="714">
        <v>7000000</v>
      </c>
      <c r="E24" s="709">
        <v>4000000</v>
      </c>
      <c r="F24" s="709">
        <v>3000000</v>
      </c>
      <c r="G24" s="709"/>
      <c r="H24" s="801">
        <f>SUM(D24:G24)</f>
        <v>14000000</v>
      </c>
      <c r="I24" s="795"/>
    </row>
    <row r="25" spans="1:9" ht="31.5">
      <c r="A25" s="694"/>
      <c r="B25" s="677"/>
      <c r="C25" s="687" t="s">
        <v>4685</v>
      </c>
      <c r="D25" s="705">
        <f>D27</f>
        <v>3000000</v>
      </c>
      <c r="E25" s="705">
        <f t="shared" ref="E25:F25" si="1">E27</f>
        <v>6000000</v>
      </c>
      <c r="F25" s="705">
        <f t="shared" si="1"/>
        <v>0</v>
      </c>
      <c r="G25" s="706">
        <f>SUM(G27:G27)</f>
        <v>0</v>
      </c>
      <c r="H25" s="799">
        <f>SUM(D25:G25)</f>
        <v>9000000</v>
      </c>
      <c r="I25" s="795"/>
    </row>
    <row r="26" spans="1:9" ht="15.75">
      <c r="A26" s="694"/>
      <c r="B26" s="677"/>
      <c r="C26" s="247" t="s">
        <v>3854</v>
      </c>
      <c r="D26" s="714"/>
      <c r="E26" s="709"/>
      <c r="F26" s="709"/>
      <c r="G26" s="709"/>
      <c r="H26" s="800"/>
      <c r="I26" s="795"/>
    </row>
    <row r="27" spans="1:9" ht="15.75">
      <c r="A27" s="694"/>
      <c r="B27" s="677"/>
      <c r="C27" s="247" t="s">
        <v>4627</v>
      </c>
      <c r="D27" s="714">
        <v>3000000</v>
      </c>
      <c r="E27" s="709">
        <v>6000000</v>
      </c>
      <c r="F27" s="709">
        <v>0</v>
      </c>
      <c r="G27" s="709"/>
      <c r="H27" s="801">
        <f>SUM(D27:G27)</f>
        <v>9000000</v>
      </c>
      <c r="I27" s="795"/>
    </row>
    <row r="28" spans="1:9" ht="47.25">
      <c r="A28" s="695">
        <v>511</v>
      </c>
      <c r="B28" s="686">
        <v>4</v>
      </c>
      <c r="C28" s="687" t="s">
        <v>4609</v>
      </c>
      <c r="D28" s="705">
        <f>D30</f>
        <v>1800000</v>
      </c>
      <c r="E28" s="706">
        <f>SUM(E30:E30)</f>
        <v>2500000</v>
      </c>
      <c r="F28" s="706">
        <f>SUM(F30:F30)</f>
        <v>0</v>
      </c>
      <c r="G28" s="706">
        <f>SUM(G30:G30)</f>
        <v>0</v>
      </c>
      <c r="H28" s="799">
        <f>SUM(D28:G28)</f>
        <v>4300000</v>
      </c>
      <c r="I28" s="795"/>
    </row>
    <row r="29" spans="1:9" ht="15.75">
      <c r="A29" s="694"/>
      <c r="B29" s="677"/>
      <c r="C29" s="247" t="s">
        <v>3854</v>
      </c>
      <c r="D29" s="714"/>
      <c r="E29" s="709"/>
      <c r="F29" s="709"/>
      <c r="G29" s="709"/>
      <c r="H29" s="180"/>
      <c r="I29" s="795"/>
    </row>
    <row r="30" spans="1:9" ht="15.75">
      <c r="A30" s="694"/>
      <c r="B30" s="677"/>
      <c r="C30" s="247" t="s">
        <v>4627</v>
      </c>
      <c r="D30" s="714">
        <v>1800000</v>
      </c>
      <c r="E30" s="709">
        <v>2500000</v>
      </c>
      <c r="F30" s="709">
        <v>0</v>
      </c>
      <c r="G30" s="709">
        <v>0</v>
      </c>
      <c r="H30" s="689">
        <f>SUM(D30:G30)</f>
        <v>4300000</v>
      </c>
      <c r="I30" s="795"/>
    </row>
    <row r="31" spans="1:9" ht="15.75">
      <c r="A31" s="695">
        <v>511</v>
      </c>
      <c r="B31" s="686">
        <v>5</v>
      </c>
      <c r="C31" s="688" t="s">
        <v>4605</v>
      </c>
      <c r="D31" s="705"/>
      <c r="E31" s="706">
        <f>SUM(E33:E33)</f>
        <v>4500000</v>
      </c>
      <c r="F31" s="706">
        <f>SUM(F33:F33)</f>
        <v>8000000</v>
      </c>
      <c r="G31" s="706">
        <f>SUM(G33:G33)</f>
        <v>0</v>
      </c>
      <c r="H31" s="707">
        <f>SUM(D31:G31)</f>
        <v>12500000</v>
      </c>
      <c r="I31" s="795"/>
    </row>
    <row r="32" spans="1:9" ht="15.75">
      <c r="A32" s="694"/>
      <c r="B32" s="677"/>
      <c r="C32" s="247" t="s">
        <v>3854</v>
      </c>
      <c r="D32" s="714"/>
      <c r="E32" s="709"/>
      <c r="F32" s="709"/>
      <c r="G32" s="709"/>
      <c r="H32" s="180"/>
      <c r="I32" s="795"/>
    </row>
    <row r="33" spans="1:9" ht="15.75">
      <c r="A33" s="694"/>
      <c r="B33" s="677"/>
      <c r="C33" s="247" t="s">
        <v>4627</v>
      </c>
      <c r="D33" s="714"/>
      <c r="E33" s="709">
        <v>4500000</v>
      </c>
      <c r="F33" s="709">
        <v>8000000</v>
      </c>
      <c r="G33" s="709"/>
      <c r="H33" s="689">
        <f>SUM(D33:G33)</f>
        <v>12500000</v>
      </c>
      <c r="I33" s="795"/>
    </row>
    <row r="34" spans="1:9" ht="15.75">
      <c r="A34" s="695">
        <v>511</v>
      </c>
      <c r="B34" s="686">
        <v>6</v>
      </c>
      <c r="C34" s="688" t="s">
        <v>4607</v>
      </c>
      <c r="D34" s="705"/>
      <c r="E34" s="706">
        <f>SUM(E36:E36)</f>
        <v>9000000</v>
      </c>
      <c r="F34" s="706">
        <f>SUM(F36:F36)</f>
        <v>0</v>
      </c>
      <c r="G34" s="706">
        <f>SUM(G36:G36)</f>
        <v>0</v>
      </c>
      <c r="H34" s="713">
        <f>SUM(E34:G34)</f>
        <v>9000000</v>
      </c>
      <c r="I34" s="795"/>
    </row>
    <row r="35" spans="1:9" ht="15.75">
      <c r="A35" s="694"/>
      <c r="B35" s="677"/>
      <c r="C35" s="247" t="s">
        <v>3854</v>
      </c>
      <c r="D35" s="714"/>
      <c r="E35" s="709"/>
      <c r="F35" s="709"/>
      <c r="G35" s="709"/>
      <c r="H35" s="180"/>
      <c r="I35" s="795"/>
    </row>
    <row r="36" spans="1:9" ht="15.75">
      <c r="A36" s="694"/>
      <c r="B36" s="677"/>
      <c r="C36" s="247" t="s">
        <v>4597</v>
      </c>
      <c r="D36" s="714"/>
      <c r="E36" s="709">
        <v>9000000</v>
      </c>
      <c r="F36" s="709"/>
      <c r="G36" s="709"/>
      <c r="H36" s="689">
        <f>SUM(D36:G36)</f>
        <v>9000000</v>
      </c>
      <c r="I36" s="795"/>
    </row>
    <row r="37" spans="1:9" ht="31.5">
      <c r="A37" s="695">
        <v>511</v>
      </c>
      <c r="B37" s="686">
        <v>7</v>
      </c>
      <c r="C37" s="687" t="s">
        <v>4608</v>
      </c>
      <c r="D37" s="705"/>
      <c r="E37" s="706">
        <f>SUM(E39:E39)</f>
        <v>4000000</v>
      </c>
      <c r="F37" s="706">
        <f>SUM(F39:F39)</f>
        <v>0</v>
      </c>
      <c r="G37" s="706">
        <f>SUM(G39:G39)</f>
        <v>0</v>
      </c>
      <c r="H37" s="707">
        <f>SUM(D37:G37)</f>
        <v>4000000</v>
      </c>
      <c r="I37" s="795"/>
    </row>
    <row r="38" spans="1:9" ht="15.75">
      <c r="A38" s="694"/>
      <c r="B38" s="677"/>
      <c r="C38" s="247" t="s">
        <v>3854</v>
      </c>
      <c r="D38" s="714"/>
      <c r="E38" s="709"/>
      <c r="F38" s="709"/>
      <c r="G38" s="709"/>
      <c r="H38" s="180"/>
      <c r="I38" s="795"/>
    </row>
    <row r="39" spans="1:9" ht="15.75">
      <c r="A39" s="694"/>
      <c r="B39" s="677"/>
      <c r="C39" s="247" t="s">
        <v>4597</v>
      </c>
      <c r="D39" s="714"/>
      <c r="E39" s="709">
        <v>4000000</v>
      </c>
      <c r="F39" s="709"/>
      <c r="G39" s="709"/>
      <c r="H39" s="689">
        <f>SUM(D39:G39)</f>
        <v>4000000</v>
      </c>
      <c r="I39" s="795"/>
    </row>
    <row r="40" spans="1:9" ht="47.25">
      <c r="A40" s="695">
        <v>511</v>
      </c>
      <c r="B40" s="686">
        <v>8</v>
      </c>
      <c r="C40" s="687" t="s">
        <v>4610</v>
      </c>
      <c r="D40" s="705"/>
      <c r="E40" s="706">
        <f>SUM(E42:E42)</f>
        <v>6000000</v>
      </c>
      <c r="F40" s="706">
        <f>SUM(F42:F42)</f>
        <v>0</v>
      </c>
      <c r="G40" s="706">
        <f>SUM(G42:G42)</f>
        <v>0</v>
      </c>
      <c r="H40" s="707">
        <f>SUM(D40:G40)</f>
        <v>6000000</v>
      </c>
      <c r="I40" s="795"/>
    </row>
    <row r="41" spans="1:9" ht="15.75">
      <c r="A41" s="694"/>
      <c r="B41" s="677"/>
      <c r="C41" s="247" t="s">
        <v>3854</v>
      </c>
      <c r="D41" s="714"/>
      <c r="E41" s="709"/>
      <c r="F41" s="710"/>
      <c r="G41" s="710"/>
      <c r="H41" s="180"/>
      <c r="I41" s="795"/>
    </row>
    <row r="42" spans="1:9" ht="15.75">
      <c r="A42" s="694"/>
      <c r="B42" s="677"/>
      <c r="C42" s="247" t="s">
        <v>4627</v>
      </c>
      <c r="D42" s="714"/>
      <c r="E42" s="709">
        <v>6000000</v>
      </c>
      <c r="F42" s="710"/>
      <c r="G42" s="710"/>
      <c r="H42" s="689">
        <f>SUM(D42:G42)</f>
        <v>6000000</v>
      </c>
      <c r="I42" s="795"/>
    </row>
    <row r="43" spans="1:9" ht="48" customHeight="1">
      <c r="A43" s="695">
        <v>511</v>
      </c>
      <c r="B43" s="686">
        <v>9</v>
      </c>
      <c r="C43" s="687" t="s">
        <v>4611</v>
      </c>
      <c r="D43" s="706">
        <f>SUM(D45:D47)</f>
        <v>22300000</v>
      </c>
      <c r="E43" s="706">
        <v>7550000</v>
      </c>
      <c r="F43" s="706">
        <f>SUM(F45:F47)</f>
        <v>0</v>
      </c>
      <c r="G43" s="706">
        <f>SUM(G45:G47)</f>
        <v>0</v>
      </c>
      <c r="H43" s="713">
        <f>SUM(D43:G43)</f>
        <v>29850000</v>
      </c>
      <c r="I43" s="795"/>
    </row>
    <row r="44" spans="1:9" ht="15.75">
      <c r="A44" s="694"/>
      <c r="B44" s="677"/>
      <c r="C44" s="247" t="s">
        <v>3854</v>
      </c>
      <c r="D44" s="714"/>
      <c r="E44" s="709"/>
      <c r="F44" s="709"/>
      <c r="G44" s="709"/>
      <c r="H44" s="180"/>
      <c r="I44" s="795"/>
    </row>
    <row r="45" spans="1:9" ht="15.75">
      <c r="A45" s="694"/>
      <c r="B45" s="677"/>
      <c r="C45" s="247" t="s">
        <v>4627</v>
      </c>
      <c r="D45" s="714">
        <v>13800000</v>
      </c>
      <c r="E45" s="709"/>
      <c r="F45" s="709"/>
      <c r="G45" s="709"/>
      <c r="H45" s="689">
        <f>SUM(D45:G45)</f>
        <v>13800000</v>
      </c>
      <c r="I45" s="795"/>
    </row>
    <row r="46" spans="1:9" ht="15.75">
      <c r="A46" s="694"/>
      <c r="B46" s="677"/>
      <c r="C46" s="247" t="s">
        <v>3856</v>
      </c>
      <c r="D46" s="714">
        <v>8500000</v>
      </c>
      <c r="E46" s="709">
        <v>5500000</v>
      </c>
      <c r="F46" s="709"/>
      <c r="G46" s="709"/>
      <c r="H46" s="689">
        <f>SUM(D46:G46)</f>
        <v>14000000</v>
      </c>
      <c r="I46" s="795"/>
    </row>
    <row r="47" spans="1:9" ht="15.75">
      <c r="A47" s="694"/>
      <c r="B47" s="677"/>
      <c r="C47" s="248" t="s">
        <v>4597</v>
      </c>
      <c r="D47" s="683"/>
      <c r="E47" s="709">
        <v>2050000</v>
      </c>
      <c r="F47" s="709"/>
      <c r="G47" s="709"/>
      <c r="H47" s="689">
        <f>SUM(D47:G47)</f>
        <v>2050000</v>
      </c>
      <c r="I47" s="795"/>
    </row>
    <row r="48" spans="1:9" ht="31.5">
      <c r="A48" s="695">
        <v>511</v>
      </c>
      <c r="B48" s="686">
        <v>10</v>
      </c>
      <c r="C48" s="687" t="s">
        <v>4612</v>
      </c>
      <c r="D48" s="705"/>
      <c r="E48" s="706">
        <f>E50+E51</f>
        <v>5000000</v>
      </c>
      <c r="F48" s="706">
        <f t="shared" ref="F48:G48" si="2">F50+F51</f>
        <v>0</v>
      </c>
      <c r="G48" s="706">
        <f t="shared" si="2"/>
        <v>0</v>
      </c>
      <c r="H48" s="707">
        <f>SUM(D48:G48)</f>
        <v>5000000</v>
      </c>
      <c r="I48" s="795"/>
    </row>
    <row r="49" spans="1:9" ht="15.75">
      <c r="A49" s="694"/>
      <c r="B49" s="677"/>
      <c r="C49" s="247" t="s">
        <v>3854</v>
      </c>
      <c r="D49" s="714"/>
      <c r="E49" s="709"/>
      <c r="F49" s="709"/>
      <c r="G49" s="709"/>
      <c r="H49" s="800"/>
      <c r="I49" s="795"/>
    </row>
    <row r="50" spans="1:9" ht="15.75">
      <c r="A50" s="694"/>
      <c r="B50" s="677"/>
      <c r="C50" s="247" t="s">
        <v>4686</v>
      </c>
      <c r="D50" s="714"/>
      <c r="E50" s="709">
        <v>4000000</v>
      </c>
      <c r="F50" s="709"/>
      <c r="G50" s="709"/>
      <c r="H50" s="803">
        <f>SUM(E50:G50)</f>
        <v>4000000</v>
      </c>
      <c r="I50" s="795"/>
    </row>
    <row r="51" spans="1:9" ht="15.75">
      <c r="A51" s="694"/>
      <c r="B51" s="677"/>
      <c r="C51" s="247" t="s">
        <v>4627</v>
      </c>
      <c r="D51" s="714"/>
      <c r="E51" s="709">
        <v>1000000</v>
      </c>
      <c r="F51" s="709"/>
      <c r="G51" s="709"/>
      <c r="H51" s="801">
        <f>SUM(D51:G51)</f>
        <v>1000000</v>
      </c>
      <c r="I51" s="795"/>
    </row>
    <row r="52" spans="1:9" ht="31.5">
      <c r="A52" s="695">
        <v>511</v>
      </c>
      <c r="B52" s="686">
        <v>11</v>
      </c>
      <c r="C52" s="687" t="s">
        <v>4687</v>
      </c>
      <c r="D52" s="705"/>
      <c r="E52" s="706">
        <f>SUM(E54:E54)</f>
        <v>26000000</v>
      </c>
      <c r="F52" s="706">
        <f>SUM(F54:F54)</f>
        <v>0</v>
      </c>
      <c r="G52" s="706">
        <f>SUM(G54:G54)</f>
        <v>0</v>
      </c>
      <c r="H52" s="713">
        <f>SUM(E52:G52)</f>
        <v>26000000</v>
      </c>
      <c r="I52" s="795"/>
    </row>
    <row r="53" spans="1:9" ht="15.75">
      <c r="A53" s="694"/>
      <c r="B53" s="677"/>
      <c r="C53" s="247" t="s">
        <v>3854</v>
      </c>
      <c r="D53" s="714"/>
      <c r="E53" s="709"/>
      <c r="F53" s="709"/>
      <c r="G53" s="709"/>
      <c r="H53" s="180"/>
      <c r="I53" s="795"/>
    </row>
    <row r="54" spans="1:9" ht="15.75">
      <c r="A54" s="694"/>
      <c r="B54" s="677"/>
      <c r="C54" s="247" t="s">
        <v>3855</v>
      </c>
      <c r="D54" s="714"/>
      <c r="E54" s="709">
        <v>26000000</v>
      </c>
      <c r="F54" s="709">
        <v>0</v>
      </c>
      <c r="G54" s="709">
        <v>0</v>
      </c>
      <c r="H54" s="689">
        <f>SUM(D54:G54)</f>
        <v>26000000</v>
      </c>
      <c r="I54" s="795"/>
    </row>
    <row r="55" spans="1:9" ht="31.5">
      <c r="A55" s="695">
        <v>511</v>
      </c>
      <c r="B55" s="686">
        <v>12</v>
      </c>
      <c r="C55" s="687" t="s">
        <v>4613</v>
      </c>
      <c r="D55" s="705"/>
      <c r="E55" s="706">
        <f>SUM(E57:E58)</f>
        <v>20000000</v>
      </c>
      <c r="F55" s="706">
        <f>SUM(F58:F58)</f>
        <v>0</v>
      </c>
      <c r="G55" s="706">
        <f>SUM(G58:G58)</f>
        <v>0</v>
      </c>
      <c r="H55" s="707">
        <f>SUM(D55:G55)</f>
        <v>20000000</v>
      </c>
      <c r="I55" s="795"/>
    </row>
    <row r="56" spans="1:9" ht="15.75">
      <c r="A56" s="694"/>
      <c r="B56" s="677"/>
      <c r="C56" s="247" t="s">
        <v>3854</v>
      </c>
      <c r="D56" s="714"/>
      <c r="E56" s="709"/>
      <c r="F56" s="710"/>
      <c r="G56" s="710"/>
      <c r="H56" s="180"/>
      <c r="I56" s="795"/>
    </row>
    <row r="57" spans="1:9" ht="15.75">
      <c r="A57" s="694"/>
      <c r="B57" s="677"/>
      <c r="C57" s="247" t="s">
        <v>4627</v>
      </c>
      <c r="D57" s="714"/>
      <c r="E57" s="709">
        <v>15000000</v>
      </c>
      <c r="F57" s="710"/>
      <c r="G57" s="710"/>
      <c r="H57" s="689">
        <f>SUM(D57:G57)</f>
        <v>15000000</v>
      </c>
      <c r="I57" s="795"/>
    </row>
    <row r="58" spans="1:9" ht="15.75">
      <c r="A58" s="694"/>
      <c r="B58" s="677"/>
      <c r="C58" s="247" t="s">
        <v>4597</v>
      </c>
      <c r="D58" s="714"/>
      <c r="E58" s="709">
        <v>5000000</v>
      </c>
      <c r="F58" s="710"/>
      <c r="G58" s="710"/>
      <c r="H58" s="689">
        <f>SUM(D58:G58)</f>
        <v>5000000</v>
      </c>
      <c r="I58" s="795"/>
    </row>
    <row r="59" spans="1:9" ht="31.5">
      <c r="A59" s="695">
        <v>511</v>
      </c>
      <c r="B59" s="686">
        <v>13</v>
      </c>
      <c r="C59" s="687" t="s">
        <v>4614</v>
      </c>
      <c r="D59" s="706">
        <f>SUM(D61:D63)</f>
        <v>12100000</v>
      </c>
      <c r="E59" s="706">
        <f>SUM(E61:E63)</f>
        <v>18100000</v>
      </c>
      <c r="F59" s="706"/>
      <c r="G59" s="706">
        <f>SUM(G61:G93)</f>
        <v>0</v>
      </c>
      <c r="H59" s="713">
        <f>SUM(D59:G59)</f>
        <v>30200000</v>
      </c>
      <c r="I59" s="795"/>
    </row>
    <row r="60" spans="1:9" ht="15.75">
      <c r="A60" s="694"/>
      <c r="B60" s="677"/>
      <c r="C60" s="247" t="s">
        <v>3854</v>
      </c>
      <c r="D60" s="714"/>
      <c r="E60" s="709"/>
      <c r="F60" s="709"/>
      <c r="G60" s="709"/>
      <c r="H60" s="180"/>
      <c r="I60" s="795"/>
    </row>
    <row r="61" spans="1:9" ht="15.75">
      <c r="A61" s="694"/>
      <c r="B61" s="677"/>
      <c r="C61" s="247" t="s">
        <v>4627</v>
      </c>
      <c r="D61" s="714">
        <v>4300000</v>
      </c>
      <c r="E61" s="709"/>
      <c r="F61" s="709"/>
      <c r="G61" s="709"/>
      <c r="H61" s="689">
        <f>SUM(D61:G61)</f>
        <v>4300000</v>
      </c>
      <c r="I61" s="795"/>
    </row>
    <row r="62" spans="1:9" ht="15.75">
      <c r="A62" s="694"/>
      <c r="B62" s="677"/>
      <c r="C62" s="247" t="s">
        <v>3856</v>
      </c>
      <c r="D62" s="714">
        <v>7800000</v>
      </c>
      <c r="E62" s="709">
        <v>1700000</v>
      </c>
      <c r="F62" s="709"/>
      <c r="G62" s="709"/>
      <c r="H62" s="689">
        <f>SUM(D62:G62)</f>
        <v>9500000</v>
      </c>
      <c r="I62" s="795"/>
    </row>
    <row r="63" spans="1:9" ht="15.75">
      <c r="A63" s="694"/>
      <c r="B63" s="677"/>
      <c r="C63" s="247" t="s">
        <v>4597</v>
      </c>
      <c r="D63" s="714"/>
      <c r="E63" s="709">
        <v>16400000</v>
      </c>
      <c r="F63" s="709"/>
      <c r="G63" s="709"/>
      <c r="H63" s="689">
        <f>SUM(D63:G63)</f>
        <v>16400000</v>
      </c>
      <c r="I63" s="795"/>
    </row>
    <row r="64" spans="1:9" ht="47.25">
      <c r="A64" s="695">
        <v>511</v>
      </c>
      <c r="B64" s="686">
        <v>14</v>
      </c>
      <c r="C64" s="687" t="s">
        <v>4323</v>
      </c>
      <c r="D64" s="706">
        <f>SUM(D65:D67)</f>
        <v>0</v>
      </c>
      <c r="E64" s="706">
        <f>E66+E67</f>
        <v>119500000</v>
      </c>
      <c r="F64" s="706">
        <v>0</v>
      </c>
      <c r="G64" s="706">
        <f>SUM(G67:G98)</f>
        <v>0</v>
      </c>
      <c r="H64" s="804">
        <f>SUM(D64:G64)</f>
        <v>119500000</v>
      </c>
      <c r="I64" s="795"/>
    </row>
    <row r="65" spans="1:9" ht="15.75">
      <c r="A65" s="694"/>
      <c r="B65" s="677"/>
      <c r="C65" s="247" t="s">
        <v>3854</v>
      </c>
      <c r="D65" s="714"/>
      <c r="E65" s="709"/>
      <c r="F65" s="709"/>
      <c r="G65" s="709"/>
      <c r="H65" s="180"/>
      <c r="I65" s="795"/>
    </row>
    <row r="66" spans="1:9" ht="15.75">
      <c r="A66" s="694"/>
      <c r="B66" s="677"/>
      <c r="C66" s="247" t="s">
        <v>4627</v>
      </c>
      <c r="D66" s="714"/>
      <c r="E66" s="709">
        <v>1900000</v>
      </c>
      <c r="F66" s="709"/>
      <c r="G66" s="709"/>
      <c r="H66" s="690">
        <f>SUM(E66:G66)</f>
        <v>1900000</v>
      </c>
      <c r="I66" s="795"/>
    </row>
    <row r="67" spans="1:9" ht="15.75">
      <c r="A67" s="694"/>
      <c r="B67" s="677"/>
      <c r="C67" s="247" t="s">
        <v>3856</v>
      </c>
      <c r="D67" s="714"/>
      <c r="E67" s="709">
        <v>117600000</v>
      </c>
      <c r="F67" s="709"/>
      <c r="G67" s="709"/>
      <c r="H67" s="689">
        <f>SUM(D67:G67)</f>
        <v>117600000</v>
      </c>
      <c r="I67" s="795"/>
    </row>
    <row r="68" spans="1:9" ht="47.25">
      <c r="A68" s="695">
        <v>511</v>
      </c>
      <c r="B68" s="686">
        <v>15</v>
      </c>
      <c r="C68" s="687" t="s">
        <v>4615</v>
      </c>
      <c r="D68" s="706">
        <f>SUM(D69:D71)</f>
        <v>0</v>
      </c>
      <c r="E68" s="706">
        <f>SUM(E70:E71)</f>
        <v>22000000</v>
      </c>
      <c r="F68" s="706"/>
      <c r="G68" s="706">
        <f>SUM(G70:G101)</f>
        <v>0</v>
      </c>
      <c r="H68" s="713">
        <f>SUM(D68:G68)</f>
        <v>22000000</v>
      </c>
      <c r="I68" s="795"/>
    </row>
    <row r="69" spans="1:9" ht="15.75">
      <c r="A69" s="694"/>
      <c r="B69" s="677"/>
      <c r="C69" s="247" t="s">
        <v>3854</v>
      </c>
      <c r="D69" s="714"/>
      <c r="E69" s="709"/>
      <c r="F69" s="709"/>
      <c r="G69" s="709"/>
      <c r="H69" s="180"/>
      <c r="I69" s="795"/>
    </row>
    <row r="70" spans="1:9" ht="15.75">
      <c r="A70" s="694"/>
      <c r="B70" s="677"/>
      <c r="C70" s="247" t="s">
        <v>4627</v>
      </c>
      <c r="D70" s="714"/>
      <c r="E70" s="709">
        <v>5000000</v>
      </c>
      <c r="F70" s="709"/>
      <c r="G70" s="709"/>
      <c r="H70" s="689">
        <f>SUM(D70:G70)</f>
        <v>5000000</v>
      </c>
      <c r="I70" s="795"/>
    </row>
    <row r="71" spans="1:9" ht="15.75">
      <c r="A71" s="694"/>
      <c r="B71" s="677"/>
      <c r="C71" s="247" t="s">
        <v>3856</v>
      </c>
      <c r="D71" s="714"/>
      <c r="E71" s="709">
        <v>17000000</v>
      </c>
      <c r="F71" s="709"/>
      <c r="G71" s="709"/>
      <c r="H71" s="690">
        <f>SUM(E71:G71)</f>
        <v>17000000</v>
      </c>
      <c r="I71" s="795"/>
    </row>
    <row r="72" spans="1:9" ht="31.5">
      <c r="A72" s="695">
        <v>511</v>
      </c>
      <c r="B72" s="686">
        <v>16</v>
      </c>
      <c r="C72" s="687" t="s">
        <v>4616</v>
      </c>
      <c r="D72" s="706">
        <f>SUM(D73:D74)</f>
        <v>0</v>
      </c>
      <c r="E72" s="706">
        <f>SUM(E74:E74)</f>
        <v>7000000</v>
      </c>
      <c r="F72" s="706"/>
      <c r="G72" s="706">
        <f>SUM(G74:G101)</f>
        <v>0</v>
      </c>
      <c r="H72" s="713">
        <f>SUM(D72:G72)</f>
        <v>7000000</v>
      </c>
      <c r="I72" s="795"/>
    </row>
    <row r="73" spans="1:9" ht="15.75">
      <c r="A73" s="694"/>
      <c r="B73" s="677"/>
      <c r="C73" s="247" t="s">
        <v>3854</v>
      </c>
      <c r="D73" s="714"/>
      <c r="E73" s="709"/>
      <c r="F73" s="709"/>
      <c r="G73" s="709"/>
      <c r="H73" s="180"/>
      <c r="I73" s="795"/>
    </row>
    <row r="74" spans="1:9" ht="15.75">
      <c r="A74" s="694"/>
      <c r="B74" s="677"/>
      <c r="C74" s="247" t="s">
        <v>4627</v>
      </c>
      <c r="D74" s="714"/>
      <c r="E74" s="709">
        <v>7000000</v>
      </c>
      <c r="F74" s="709"/>
      <c r="G74" s="709"/>
      <c r="H74" s="689">
        <f>SUM(D74:G74)</f>
        <v>7000000</v>
      </c>
      <c r="I74" s="795"/>
    </row>
    <row r="75" spans="1:9" ht="31.5">
      <c r="A75" s="694"/>
      <c r="B75" s="677"/>
      <c r="C75" s="687" t="s">
        <v>4688</v>
      </c>
      <c r="D75" s="706">
        <f>SUM(D76:D78)</f>
        <v>0</v>
      </c>
      <c r="E75" s="706">
        <f>E77+E78</f>
        <v>25000000</v>
      </c>
      <c r="F75" s="706">
        <f t="shared" ref="F75:G75" si="3">F77+F78</f>
        <v>0</v>
      </c>
      <c r="G75" s="706">
        <f t="shared" si="3"/>
        <v>0</v>
      </c>
      <c r="H75" s="713">
        <f>SUM(D75:G75)</f>
        <v>25000000</v>
      </c>
      <c r="I75" s="795"/>
    </row>
    <row r="76" spans="1:9" ht="15.75">
      <c r="A76" s="694"/>
      <c r="B76" s="677"/>
      <c r="C76" s="247" t="s">
        <v>3854</v>
      </c>
      <c r="D76" s="714"/>
      <c r="E76" s="709"/>
      <c r="F76" s="709"/>
      <c r="G76" s="709"/>
      <c r="H76" s="180"/>
      <c r="I76" s="795"/>
    </row>
    <row r="77" spans="1:9" ht="15.75">
      <c r="A77" s="694"/>
      <c r="B77" s="677"/>
      <c r="C77" s="247" t="s">
        <v>3856</v>
      </c>
      <c r="D77" s="714"/>
      <c r="E77" s="709">
        <v>15000000</v>
      </c>
      <c r="F77" s="709"/>
      <c r="G77" s="709"/>
      <c r="H77" s="690">
        <f>SUM(E77:G77)</f>
        <v>15000000</v>
      </c>
      <c r="I77" s="795"/>
    </row>
    <row r="78" spans="1:9" ht="15.75">
      <c r="A78" s="694"/>
      <c r="B78" s="677"/>
      <c r="C78" s="247" t="s">
        <v>4627</v>
      </c>
      <c r="D78" s="714"/>
      <c r="E78" s="709">
        <v>10000000</v>
      </c>
      <c r="F78" s="709"/>
      <c r="G78" s="709"/>
      <c r="H78" s="689">
        <f>SUM(D78:G78)</f>
        <v>10000000</v>
      </c>
      <c r="I78" s="795"/>
    </row>
    <row r="79" spans="1:9" ht="31.5">
      <c r="A79" s="694"/>
      <c r="B79" s="677"/>
      <c r="C79" s="687" t="s">
        <v>4689</v>
      </c>
      <c r="D79" s="706">
        <f>SUM(D80:D82)</f>
        <v>0</v>
      </c>
      <c r="E79" s="706">
        <f>E81+E82</f>
        <v>6500000</v>
      </c>
      <c r="F79" s="706">
        <f t="shared" ref="F79:G79" si="4">F81+F82</f>
        <v>0</v>
      </c>
      <c r="G79" s="706">
        <f t="shared" si="4"/>
        <v>0</v>
      </c>
      <c r="H79" s="713">
        <f>SUM(D79:G79)</f>
        <v>6500000</v>
      </c>
      <c r="I79" s="795"/>
    </row>
    <row r="80" spans="1:9" ht="15.75">
      <c r="A80" s="694"/>
      <c r="B80" s="677"/>
      <c r="C80" s="247" t="s">
        <v>3854</v>
      </c>
      <c r="D80" s="714"/>
      <c r="E80" s="709"/>
      <c r="F80" s="709"/>
      <c r="G80" s="709"/>
      <c r="H80" s="180"/>
      <c r="I80" s="795"/>
    </row>
    <row r="81" spans="1:9" ht="15.75">
      <c r="A81" s="694"/>
      <c r="B81" s="677"/>
      <c r="C81" s="247" t="s">
        <v>3856</v>
      </c>
      <c r="D81" s="714"/>
      <c r="E81" s="709">
        <v>5100000</v>
      </c>
      <c r="F81" s="709"/>
      <c r="G81" s="709"/>
      <c r="H81" s="690">
        <f>SUM(E81:G81)</f>
        <v>5100000</v>
      </c>
      <c r="I81" s="795"/>
    </row>
    <row r="82" spans="1:9" ht="15.75">
      <c r="A82" s="694"/>
      <c r="B82" s="677"/>
      <c r="C82" s="247" t="s">
        <v>4627</v>
      </c>
      <c r="D82" s="714"/>
      <c r="E82" s="709">
        <v>1400000</v>
      </c>
      <c r="F82" s="709"/>
      <c r="G82" s="709"/>
      <c r="H82" s="689">
        <f>SUM(D82:G82)</f>
        <v>1400000</v>
      </c>
      <c r="I82" s="795"/>
    </row>
    <row r="83" spans="1:9" ht="47.25">
      <c r="A83" s="695">
        <v>511</v>
      </c>
      <c r="B83" s="686">
        <v>17</v>
      </c>
      <c r="C83" s="687" t="s">
        <v>4617</v>
      </c>
      <c r="D83" s="706">
        <f>SUM(D84:D85)</f>
        <v>0</v>
      </c>
      <c r="E83" s="706">
        <f>SUM(E85:E85)</f>
        <v>4000000</v>
      </c>
      <c r="F83" s="706">
        <f>SUM(F85:F101)</f>
        <v>1000000</v>
      </c>
      <c r="G83" s="706">
        <f>SUM(G85:G101)</f>
        <v>0</v>
      </c>
      <c r="H83" s="713">
        <f>SUM(D83:G83)</f>
        <v>5000000</v>
      </c>
      <c r="I83" s="795"/>
    </row>
    <row r="84" spans="1:9" ht="15.75">
      <c r="A84" s="694"/>
      <c r="B84" s="677"/>
      <c r="C84" s="247" t="s">
        <v>3854</v>
      </c>
      <c r="D84" s="714"/>
      <c r="E84" s="709"/>
      <c r="F84" s="709"/>
      <c r="G84" s="709"/>
      <c r="H84" s="180"/>
      <c r="I84" s="795"/>
    </row>
    <row r="85" spans="1:9" ht="15.75">
      <c r="A85" s="694"/>
      <c r="B85" s="677"/>
      <c r="C85" s="247" t="s">
        <v>3855</v>
      </c>
      <c r="D85" s="714"/>
      <c r="E85" s="709">
        <v>4000000</v>
      </c>
      <c r="F85" s="709">
        <v>1000000</v>
      </c>
      <c r="G85" s="709"/>
      <c r="H85" s="689">
        <f>SUM(D85:G85)</f>
        <v>5000000</v>
      </c>
      <c r="I85" s="795"/>
    </row>
    <row r="86" spans="1:9" ht="47.25">
      <c r="A86" s="694"/>
      <c r="B86" s="677"/>
      <c r="C86" s="687" t="s">
        <v>4690</v>
      </c>
      <c r="D86" s="706">
        <v>0</v>
      </c>
      <c r="E86" s="706">
        <f>SUM(E88:E89)</f>
        <v>27000000</v>
      </c>
      <c r="F86" s="706">
        <f>SUM(F88:F97)</f>
        <v>0</v>
      </c>
      <c r="G86" s="706">
        <f>SUM(G88:G97)</f>
        <v>0</v>
      </c>
      <c r="H86" s="713">
        <f>SUM(D86:G86)</f>
        <v>27000000</v>
      </c>
      <c r="I86" s="795"/>
    </row>
    <row r="87" spans="1:9" ht="15.75">
      <c r="A87" s="694"/>
      <c r="B87" s="677"/>
      <c r="C87" s="247" t="s">
        <v>3854</v>
      </c>
      <c r="D87" s="714"/>
      <c r="E87" s="709"/>
      <c r="F87" s="709"/>
      <c r="G87" s="709"/>
      <c r="H87" s="180"/>
      <c r="I87" s="795"/>
    </row>
    <row r="88" spans="1:9" ht="15.75">
      <c r="A88" s="694"/>
      <c r="B88" s="677"/>
      <c r="C88" s="247" t="s">
        <v>4691</v>
      </c>
      <c r="D88" s="714">
        <v>0</v>
      </c>
      <c r="E88" s="709">
        <v>22900000</v>
      </c>
      <c r="F88" s="709"/>
      <c r="G88" s="709"/>
      <c r="H88" s="689">
        <f>SUM(D88:G88)</f>
        <v>22900000</v>
      </c>
      <c r="I88" s="795"/>
    </row>
    <row r="89" spans="1:9" ht="15.75">
      <c r="A89" s="694"/>
      <c r="B89" s="677"/>
      <c r="C89" s="247" t="s">
        <v>4692</v>
      </c>
      <c r="D89" s="714"/>
      <c r="E89" s="709">
        <v>4100000</v>
      </c>
      <c r="F89" s="709"/>
      <c r="G89" s="709"/>
      <c r="H89" s="689">
        <f>SUM(D89:G89)</f>
        <v>4100000</v>
      </c>
      <c r="I89" s="795"/>
    </row>
    <row r="90" spans="1:9" ht="63">
      <c r="A90" s="695">
        <v>511</v>
      </c>
      <c r="B90" s="686">
        <v>18</v>
      </c>
      <c r="C90" s="687" t="s">
        <v>4618</v>
      </c>
      <c r="D90" s="706">
        <f>SUM(D92:D101)</f>
        <v>5000000</v>
      </c>
      <c r="E90" s="706">
        <f>SUM(E92:E93)</f>
        <v>12000000</v>
      </c>
      <c r="F90" s="706">
        <f>SUM(F92:F101)</f>
        <v>0</v>
      </c>
      <c r="G90" s="706">
        <f>SUM(G92:G101)</f>
        <v>0</v>
      </c>
      <c r="H90" s="713">
        <f>SUM(D90:G90)</f>
        <v>17000000</v>
      </c>
      <c r="I90" s="795"/>
    </row>
    <row r="91" spans="1:9" ht="15.75">
      <c r="A91" s="694"/>
      <c r="B91" s="677"/>
      <c r="C91" s="247" t="s">
        <v>3854</v>
      </c>
      <c r="D91" s="714"/>
      <c r="E91" s="709"/>
      <c r="F91" s="709"/>
      <c r="G91" s="709"/>
      <c r="H91" s="180"/>
      <c r="I91" s="795"/>
    </row>
    <row r="92" spans="1:9" ht="15.75">
      <c r="A92" s="694"/>
      <c r="B92" s="677"/>
      <c r="C92" s="247" t="s">
        <v>3856</v>
      </c>
      <c r="D92" s="714">
        <v>5000000</v>
      </c>
      <c r="E92" s="709">
        <v>0</v>
      </c>
      <c r="F92" s="709"/>
      <c r="G92" s="709"/>
      <c r="H92" s="689">
        <f>SUM(D92:G92)</f>
        <v>5000000</v>
      </c>
      <c r="I92" s="795"/>
    </row>
    <row r="93" spans="1:9" ht="15.75">
      <c r="A93" s="694"/>
      <c r="B93" s="677"/>
      <c r="C93" s="247" t="s">
        <v>4597</v>
      </c>
      <c r="D93" s="714"/>
      <c r="E93" s="709">
        <v>12000000</v>
      </c>
      <c r="F93" s="709"/>
      <c r="G93" s="709"/>
      <c r="H93" s="689">
        <f>SUM(D93:G93)</f>
        <v>12000000</v>
      </c>
      <c r="I93" s="795"/>
    </row>
    <row r="94" spans="1:9" ht="28.5" customHeight="1">
      <c r="A94" s="696"/>
      <c r="B94" s="680" t="s">
        <v>4598</v>
      </c>
      <c r="C94" s="681" t="s">
        <v>4599</v>
      </c>
      <c r="D94" s="715"/>
      <c r="E94" s="796">
        <f>E95+E99</f>
        <v>9450000</v>
      </c>
      <c r="F94" s="716"/>
      <c r="G94" s="716"/>
      <c r="H94" s="704">
        <f>SUM(D94:G94)</f>
        <v>9450000</v>
      </c>
    </row>
    <row r="95" spans="1:9" ht="47.25">
      <c r="A95" s="698">
        <v>4512</v>
      </c>
      <c r="B95" s="699">
        <v>1</v>
      </c>
      <c r="C95" s="700" t="s">
        <v>4596</v>
      </c>
      <c r="D95" s="717"/>
      <c r="E95" s="797">
        <f>E97+E98</f>
        <v>4450000</v>
      </c>
      <c r="F95" s="718"/>
      <c r="G95" s="718"/>
      <c r="H95" s="707">
        <f>SUM(D95:G95)</f>
        <v>4450000</v>
      </c>
    </row>
    <row r="96" spans="1:9" ht="15.75">
      <c r="A96" s="697"/>
      <c r="B96" s="423"/>
      <c r="C96" s="247" t="s">
        <v>3854</v>
      </c>
      <c r="D96" s="714"/>
      <c r="E96" s="798"/>
      <c r="F96" s="676"/>
      <c r="G96" s="676"/>
      <c r="H96" s="702"/>
    </row>
    <row r="97" spans="1:9" ht="15.75">
      <c r="A97" s="697"/>
      <c r="B97" s="423"/>
      <c r="C97" s="247" t="s">
        <v>4627</v>
      </c>
      <c r="D97" s="714"/>
      <c r="E97" s="798">
        <v>2450000</v>
      </c>
      <c r="F97" s="676"/>
      <c r="G97" s="676"/>
      <c r="H97" s="702">
        <f t="shared" ref="H97:H101" si="5">SUM(D97:G97)</f>
        <v>2450000</v>
      </c>
    </row>
    <row r="98" spans="1:9">
      <c r="A98" s="697"/>
      <c r="B98" s="423"/>
      <c r="C98" s="248" t="s">
        <v>4597</v>
      </c>
      <c r="D98" s="424"/>
      <c r="E98" s="798">
        <v>2000000</v>
      </c>
      <c r="F98" s="676"/>
      <c r="G98" s="676"/>
      <c r="H98" s="702">
        <f t="shared" si="5"/>
        <v>2000000</v>
      </c>
    </row>
    <row r="99" spans="1:9" ht="15.75">
      <c r="A99" s="698">
        <v>4512</v>
      </c>
      <c r="B99" s="699">
        <v>2</v>
      </c>
      <c r="C99" s="701" t="s">
        <v>4293</v>
      </c>
      <c r="D99" s="705"/>
      <c r="E99" s="797">
        <f>'ПО КОРИСНИЦИМА'!H178</f>
        <v>5000000</v>
      </c>
      <c r="F99" s="718"/>
      <c r="G99" s="718"/>
      <c r="H99" s="707">
        <f t="shared" si="5"/>
        <v>5000000</v>
      </c>
      <c r="I99" s="795"/>
    </row>
    <row r="100" spans="1:9" ht="15.75">
      <c r="A100" s="697"/>
      <c r="B100" s="423"/>
      <c r="C100" s="247" t="s">
        <v>3854</v>
      </c>
      <c r="D100" s="714"/>
      <c r="E100" s="798"/>
      <c r="F100" s="676"/>
      <c r="G100" s="676"/>
      <c r="H100" s="702"/>
      <c r="I100" s="795"/>
    </row>
    <row r="101" spans="1:9" ht="15.75">
      <c r="A101" s="697"/>
      <c r="B101" s="423"/>
      <c r="C101" s="247" t="s">
        <v>4627</v>
      </c>
      <c r="D101" s="714"/>
      <c r="E101" s="798">
        <v>5000000</v>
      </c>
      <c r="F101" s="676"/>
      <c r="G101" s="676"/>
      <c r="H101" s="702">
        <f t="shared" si="5"/>
        <v>5000000</v>
      </c>
      <c r="I101" s="795"/>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F89"/>
  <sheetViews>
    <sheetView zoomScale="120" zoomScaleNormal="120" workbookViewId="0">
      <selection activeCell="H7" sqref="H7"/>
    </sheetView>
  </sheetViews>
  <sheetFormatPr defaultRowHeight="15"/>
  <cols>
    <col min="1" max="1" width="7" style="85" customWidth="1"/>
    <col min="2" max="2" width="32" style="85" customWidth="1"/>
    <col min="3" max="3" width="14.28515625" style="85" customWidth="1"/>
    <col min="4" max="4" width="7.28515625" style="683" customWidth="1"/>
    <col min="5" max="5" width="15.85546875" style="1097" customWidth="1"/>
    <col min="6" max="6" width="15" style="1097" customWidth="1"/>
    <col min="7" max="16384" width="9.140625" style="85"/>
  </cols>
  <sheetData>
    <row r="1" spans="1:6" ht="15" customHeight="1">
      <c r="A1" s="1223" t="s">
        <v>4725</v>
      </c>
      <c r="B1" s="1223"/>
      <c r="C1" s="1223"/>
      <c r="D1" s="1223"/>
      <c r="E1" s="1223"/>
      <c r="F1" s="1087"/>
    </row>
    <row r="2" spans="1:6">
      <c r="A2" s="115"/>
      <c r="B2" s="116"/>
      <c r="C2" s="117"/>
      <c r="D2" s="1112"/>
      <c r="E2" s="1088"/>
      <c r="F2" s="1088"/>
    </row>
    <row r="3" spans="1:6" ht="21">
      <c r="A3" s="228" t="s">
        <v>3752</v>
      </c>
      <c r="B3" s="228" t="s">
        <v>3753</v>
      </c>
      <c r="C3" s="229" t="s">
        <v>4709</v>
      </c>
      <c r="D3" s="1113" t="s">
        <v>4704</v>
      </c>
      <c r="E3" s="1089" t="s">
        <v>4695</v>
      </c>
      <c r="F3" s="1089" t="s">
        <v>4700</v>
      </c>
    </row>
    <row r="4" spans="1:6">
      <c r="A4" s="367" t="s">
        <v>3754</v>
      </c>
      <c r="B4" s="368">
        <v>2</v>
      </c>
      <c r="C4" s="369">
        <v>3</v>
      </c>
      <c r="D4" s="1161">
        <v>4</v>
      </c>
      <c r="E4" s="1161">
        <v>5</v>
      </c>
      <c r="F4" s="1100">
        <v>6</v>
      </c>
    </row>
    <row r="5" spans="1:6">
      <c r="A5" s="370" t="s">
        <v>3907</v>
      </c>
      <c r="B5" s="371" t="s">
        <v>4046</v>
      </c>
      <c r="C5" s="1098">
        <f>SUM(C6,C15,C22,C28,C33,C39,C46,C48,C55)</f>
        <v>579888000</v>
      </c>
      <c r="D5" s="1114">
        <f>E5/C5*100</f>
        <v>63.095168170405323</v>
      </c>
      <c r="E5" s="1099">
        <f>SUM(E6,E15,E22,E28,E33,E39,E46,E48)</f>
        <v>365881308.80000001</v>
      </c>
      <c r="F5" s="1099">
        <f>C5-E5</f>
        <v>214006691.19999999</v>
      </c>
    </row>
    <row r="6" spans="1:6">
      <c r="A6" s="372" t="s">
        <v>3755</v>
      </c>
      <c r="B6" s="373" t="s">
        <v>3756</v>
      </c>
      <c r="C6" s="374">
        <f>SUM(C7:C14)</f>
        <v>130680000</v>
      </c>
      <c r="D6" s="1115">
        <f>E6/C6*100</f>
        <v>71.700172191613092</v>
      </c>
      <c r="E6" s="1090">
        <f>SUM(E7:E14)</f>
        <v>93697785.019999981</v>
      </c>
      <c r="F6" s="1090">
        <f>C6-E6</f>
        <v>36982214.980000019</v>
      </c>
    </row>
    <row r="7" spans="1:6">
      <c r="A7" s="375">
        <v>411</v>
      </c>
      <c r="B7" s="376" t="s">
        <v>3757</v>
      </c>
      <c r="C7" s="377">
        <f>SUMIF('ПО КОРИСНИЦИМА'!$F$4:$F$544,'По основ. нам.'!A7,'ПО КОРИСНИЦИМА'!$H$4:$H$544)</f>
        <v>103720000</v>
      </c>
      <c r="D7" s="1116">
        <f>E7/C7*100</f>
        <v>72.401608754338596</v>
      </c>
      <c r="E7" s="1091">
        <f>SUMIF('ПО КОРИСНИЦИМА'!$F$4:$F$544,'По основ. нам.'!A7,'ПО КОРИСНИЦИМА'!$I$4:$I$544)</f>
        <v>75094948.599999994</v>
      </c>
      <c r="F7" s="1091">
        <f>C7-E7</f>
        <v>28625051.400000006</v>
      </c>
    </row>
    <row r="8" spans="1:6">
      <c r="A8" s="375">
        <v>412</v>
      </c>
      <c r="B8" s="376" t="s">
        <v>3758</v>
      </c>
      <c r="C8" s="377">
        <f>SUMIF('ПО КОРИСНИЦИМА'!$F$4:$F$544,'По основ. нам.'!A8,'ПО КОРИСНИЦИМА'!$H$4:$H$544)</f>
        <v>18660000</v>
      </c>
      <c r="D8" s="1116">
        <f t="shared" ref="D8:D12" si="0">E8/C8*100</f>
        <v>71.991772186495183</v>
      </c>
      <c r="E8" s="1091">
        <f>SUMIF('ПО КОРИСНИЦИМА'!$F$4:$F$544,'По основ. нам.'!A8,'ПО КОРИСНИЦИМА'!$I$4:$I$544)</f>
        <v>13433664.690000001</v>
      </c>
      <c r="F8" s="1091">
        <f t="shared" ref="F8:F12" si="1">C8-E8</f>
        <v>5226335.3099999987</v>
      </c>
    </row>
    <row r="9" spans="1:6">
      <c r="A9" s="378">
        <v>413</v>
      </c>
      <c r="B9" s="376" t="s">
        <v>3759</v>
      </c>
      <c r="C9" s="377">
        <f>SUMIF('ПО КОРИСНИЦИМА'!$F$4:$F$544,'По основ. нам.'!A9,'ПО КОРИСНИЦИМА'!$H$4:$H$544)</f>
        <v>550000</v>
      </c>
      <c r="D9" s="1116">
        <f t="shared" si="0"/>
        <v>6.7309090909090914</v>
      </c>
      <c r="E9" s="1091">
        <f>SUMIF('ПО КОРИСНИЦИМА'!$F$4:$F$544,'По основ. нам.'!A9,'ПО КОРИСНИЦИМА'!$I$4:$I$544)</f>
        <v>37020</v>
      </c>
      <c r="F9" s="1091">
        <f t="shared" si="1"/>
        <v>512980</v>
      </c>
    </row>
    <row r="10" spans="1:6">
      <c r="A10" s="375" t="s">
        <v>3760</v>
      </c>
      <c r="B10" s="376" t="s">
        <v>3761</v>
      </c>
      <c r="C10" s="377">
        <f>SUMIF('ПО КОРИСНИЦИМА'!$F$4:$F$544,'По основ. нам.'!A10,'ПО КОРИСНИЦИМА'!$H$4:$H$544)</f>
        <v>3780000</v>
      </c>
      <c r="D10" s="1116">
        <f t="shared" si="0"/>
        <v>76.66491666666667</v>
      </c>
      <c r="E10" s="1091">
        <f>SUMIF('ПО КОРИСНИЦИМА'!$F$4:$F$544,'По основ. нам.'!A10,'ПО КОРИСНИЦИМА'!$I$4:$I$544)</f>
        <v>2897933.85</v>
      </c>
      <c r="F10" s="1091">
        <f t="shared" si="1"/>
        <v>882066.14999999991</v>
      </c>
    </row>
    <row r="11" spans="1:6">
      <c r="A11" s="375" t="s">
        <v>3762</v>
      </c>
      <c r="B11" s="376" t="s">
        <v>3763</v>
      </c>
      <c r="C11" s="377">
        <f>SUMIF('ПО КОРИСНИЦИМА'!$F$4:$F$544,'По основ. нам.'!A11,'ПО КОРИСНИЦИМА'!$H$4:$H$544)</f>
        <v>2670000</v>
      </c>
      <c r="D11" s="1116">
        <f t="shared" si="0"/>
        <v>62.554495505617979</v>
      </c>
      <c r="E11" s="1091">
        <f>SUMIF('ПО КОРИСНИЦИМА'!$F$4:$F$544,'По основ. нам.'!A11,'ПО КОРИСНИЦИМА'!$I$4:$I$544)</f>
        <v>1670205.03</v>
      </c>
      <c r="F11" s="1091">
        <f t="shared" si="1"/>
        <v>999794.97</v>
      </c>
    </row>
    <row r="12" spans="1:6">
      <c r="A12" s="375" t="s">
        <v>3764</v>
      </c>
      <c r="B12" s="376" t="s">
        <v>3765</v>
      </c>
      <c r="C12" s="377">
        <f>SUMIF('ПО КОРИСНИЦИМА'!$F$4:$F$544,'По основ. нам.'!A12,'ПО КОРИСНИЦИМА'!$H$4:$H$544)</f>
        <v>1300000</v>
      </c>
      <c r="D12" s="1116">
        <f t="shared" si="0"/>
        <v>43.385603846153856</v>
      </c>
      <c r="E12" s="1091">
        <f>SUMIF('ПО КОРИСНИЦИМА'!$F$4:$F$544,'По основ. нам.'!A12,'ПО КОРИСНИЦИМА'!$I$4:$I$544)</f>
        <v>564012.85000000009</v>
      </c>
      <c r="F12" s="1091">
        <f t="shared" si="1"/>
        <v>735987.14999999991</v>
      </c>
    </row>
    <row r="13" spans="1:6" hidden="1">
      <c r="A13" s="375">
        <v>417</v>
      </c>
      <c r="B13" s="376" t="s">
        <v>3766</v>
      </c>
      <c r="C13" s="377">
        <f>SUMIF('ПО КОРИСНИЦИМА'!$F$4:$F$544,'По основ. нам.'!A13,'ПО КОРИСНИЦИМА'!$H$4:$H$544)</f>
        <v>0</v>
      </c>
      <c r="D13" s="1116">
        <f t="shared" ref="D13:D32" si="2">IFERROR(C13/$C$88,"-")</f>
        <v>0</v>
      </c>
      <c r="E13" s="1091">
        <f>SUMIF('ПО КОРИСНИЦИМА'!$F$4:$F$544,'По основ. нам.'!A13,'ПО КОРИСНИЦИМА'!$I$4:$I$544)</f>
        <v>0</v>
      </c>
      <c r="F13" s="1091">
        <f t="shared" ref="F13:F77" si="3">C13+E13</f>
        <v>0</v>
      </c>
    </row>
    <row r="14" spans="1:6" hidden="1">
      <c r="A14" s="375">
        <v>418</v>
      </c>
      <c r="B14" s="376" t="s">
        <v>3767</v>
      </c>
      <c r="C14" s="377">
        <f>SUMIF('ПО КОРИСНИЦИМА'!$F$4:$F$544,'По основ. нам.'!A14,'ПО КОРИСНИЦИМА'!$H$4:$H$544)</f>
        <v>0</v>
      </c>
      <c r="D14" s="1116">
        <f t="shared" si="2"/>
        <v>0</v>
      </c>
      <c r="E14" s="1091">
        <f>SUMIF('ПО КОРИСНИЦИМА'!$F$4:$F$544,'По основ. нам.'!A14,'ПО КОРИСНИЦИМА'!$I$4:$I$544)</f>
        <v>0</v>
      </c>
      <c r="F14" s="1092">
        <f t="shared" si="3"/>
        <v>0</v>
      </c>
    </row>
    <row r="15" spans="1:6">
      <c r="A15" s="372" t="s">
        <v>3768</v>
      </c>
      <c r="B15" s="373" t="s">
        <v>3769</v>
      </c>
      <c r="C15" s="374">
        <f>SUM(C16:C21)</f>
        <v>230440000</v>
      </c>
      <c r="D15" s="1115">
        <f>E15/C15*100</f>
        <v>60.912549848116647</v>
      </c>
      <c r="E15" s="1090">
        <f>SUM(E16:E21)</f>
        <v>140366879.87</v>
      </c>
      <c r="F15" s="1090">
        <f>C15-E15</f>
        <v>90073120.129999995</v>
      </c>
    </row>
    <row r="16" spans="1:6">
      <c r="A16" s="375" t="s">
        <v>3770</v>
      </c>
      <c r="B16" s="376" t="s">
        <v>3771</v>
      </c>
      <c r="C16" s="377">
        <f>SUMIF('ПО КОРИСНИЦИМА'!$F$4:$F$544,'По основ. нам.'!A16,'ПО КОРИСНИЦИМА'!$H$4:$H$544)</f>
        <v>77020000</v>
      </c>
      <c r="D16" s="1116">
        <f>E16/C16*100</f>
        <v>69.570769683199174</v>
      </c>
      <c r="E16" s="1091">
        <f>SUMIF('ПО КОРИСНИЦИМА'!$F$4:$F$544,'По основ. нам.'!A16,'ПО КОРИСНИЦИМА'!$I$4:$I$544)</f>
        <v>53583406.810000002</v>
      </c>
      <c r="F16" s="1091">
        <f>C16-E16</f>
        <v>23436593.189999998</v>
      </c>
    </row>
    <row r="17" spans="1:6">
      <c r="A17" s="375">
        <v>422</v>
      </c>
      <c r="B17" s="376" t="s">
        <v>3772</v>
      </c>
      <c r="C17" s="377">
        <f>SUMIF('ПО КОРИСНИЦИМА'!$F$4:$F$544,'По основ. нам.'!A17,'ПО КОРИСНИЦИМА'!$H$4:$H$544)</f>
        <v>2580000</v>
      </c>
      <c r="D17" s="1116">
        <f t="shared" ref="D17:D21" si="4">E17/C17*100</f>
        <v>43.146446511627914</v>
      </c>
      <c r="E17" s="1091">
        <f>SUMIF('ПО КОРИСНИЦИМА'!$F$4:$F$544,'По основ. нам.'!A17,'ПО КОРИСНИЦИМА'!$I$4:$I$544)</f>
        <v>1113178.32</v>
      </c>
      <c r="F17" s="1091">
        <f t="shared" ref="F17:F21" si="5">C17-E17</f>
        <v>1466821.68</v>
      </c>
    </row>
    <row r="18" spans="1:6">
      <c r="A18" s="375">
        <v>423</v>
      </c>
      <c r="B18" s="376" t="s">
        <v>3773</v>
      </c>
      <c r="C18" s="377">
        <f>SUMIF('ПО КОРИСНИЦИМА'!$F$4:$F$544,'По основ. нам.'!A18,'ПО КОРИСНИЦИМА'!$H$4:$H$544)</f>
        <v>43270000</v>
      </c>
      <c r="D18" s="1116">
        <f t="shared" si="4"/>
        <v>67.228379408366067</v>
      </c>
      <c r="E18" s="1091">
        <f>SUMIF('ПО КОРИСНИЦИМА'!$F$4:$F$544,'По основ. нам.'!A18,'ПО КОРИСНИЦИМА'!$I$4:$I$544)</f>
        <v>29089719.769999996</v>
      </c>
      <c r="F18" s="1091">
        <f t="shared" si="5"/>
        <v>14180280.230000004</v>
      </c>
    </row>
    <row r="19" spans="1:6">
      <c r="A19" s="375" t="s">
        <v>3774</v>
      </c>
      <c r="B19" s="376" t="s">
        <v>3775</v>
      </c>
      <c r="C19" s="377">
        <f>SUMIF('ПО КОРИСНИЦИМА'!$F$4:$F$544,'По основ. нам.'!A19,'ПО КОРИСНИЦИМА'!$H$4:$H$544)</f>
        <v>32080000</v>
      </c>
      <c r="D19" s="1116">
        <f t="shared" si="4"/>
        <v>64.72402565461347</v>
      </c>
      <c r="E19" s="1091">
        <f>SUMIF('ПО КОРИСНИЦИМА'!$F$4:$F$544,'По основ. нам.'!A19,'ПО КОРИСНИЦИМА'!$I$4:$I$544)</f>
        <v>20763467.43</v>
      </c>
      <c r="F19" s="1091">
        <f t="shared" si="5"/>
        <v>11316532.57</v>
      </c>
    </row>
    <row r="20" spans="1:6">
      <c r="A20" s="375" t="s">
        <v>3776</v>
      </c>
      <c r="B20" s="376" t="s">
        <v>3777</v>
      </c>
      <c r="C20" s="377">
        <f>SUMIF('ПО КОРИСНИЦИМА'!$F$4:$F$544,'По основ. нам.'!A20,'ПО КОРИСНИЦИМА'!$H$4:$H$544)</f>
        <v>56760000</v>
      </c>
      <c r="D20" s="1116">
        <f t="shared" si="4"/>
        <v>41.075524365750525</v>
      </c>
      <c r="E20" s="1091">
        <f>SUMIF('ПО КОРИСНИЦИМА'!$F$4:$F$544,'По основ. нам.'!A20,'ПО КОРИСНИЦИМА'!$I$4:$I$544)</f>
        <v>23314467.629999999</v>
      </c>
      <c r="F20" s="1091">
        <f t="shared" si="5"/>
        <v>33445532.370000001</v>
      </c>
    </row>
    <row r="21" spans="1:6">
      <c r="A21" s="375" t="s">
        <v>3778</v>
      </c>
      <c r="B21" s="376" t="s">
        <v>3779</v>
      </c>
      <c r="C21" s="377">
        <f>SUMIF('ПО КОРИСНИЦИМА'!$F$4:$F$544,'По основ. нам.'!A21,'ПО КОРИСНИЦИМА'!$H$4:$H$544)</f>
        <v>18730000</v>
      </c>
      <c r="D21" s="1116">
        <f t="shared" si="4"/>
        <v>66.751948264815823</v>
      </c>
      <c r="E21" s="1091">
        <f>SUMIF('ПО КОРИСНИЦИМА'!$F$4:$F$544,'По основ. нам.'!A21,'ПО КОРИСНИЦИМА'!$I$4:$I$544)</f>
        <v>12502639.910000002</v>
      </c>
      <c r="F21" s="1091">
        <f t="shared" si="5"/>
        <v>6227360.089999998</v>
      </c>
    </row>
    <row r="22" spans="1:6" hidden="1">
      <c r="A22" s="372" t="s">
        <v>3780</v>
      </c>
      <c r="B22" s="373" t="s">
        <v>3781</v>
      </c>
      <c r="C22" s="374">
        <f>SUM(C23:C27)</f>
        <v>0</v>
      </c>
      <c r="D22" s="1115">
        <f t="shared" si="2"/>
        <v>0</v>
      </c>
      <c r="E22" s="1090">
        <f>SUM(E23:E27)</f>
        <v>0</v>
      </c>
      <c r="F22" s="1090">
        <f t="shared" si="3"/>
        <v>0</v>
      </c>
    </row>
    <row r="23" spans="1:6" hidden="1">
      <c r="A23" s="375">
        <v>431</v>
      </c>
      <c r="B23" s="376" t="s">
        <v>3782</v>
      </c>
      <c r="C23" s="377">
        <f>SUMIF('ПО КОРИСНИЦИМА'!$F$4:$F$544,'По основ. нам.'!A23,'ПО КОРИСНИЦИМА'!$H$4:$H$544)</f>
        <v>0</v>
      </c>
      <c r="D23" s="1116">
        <f t="shared" si="2"/>
        <v>0</v>
      </c>
      <c r="E23" s="1091">
        <f>SUMIF('ПО КОРИСНИЦИМА'!$F$4:$F$544,'По основ. нам.'!A23,'ПО КОРИСНИЦИМА'!$I$4:$I$544)</f>
        <v>0</v>
      </c>
      <c r="F23" s="1091">
        <f t="shared" si="3"/>
        <v>0</v>
      </c>
    </row>
    <row r="24" spans="1:6" hidden="1">
      <c r="A24" s="375">
        <v>432</v>
      </c>
      <c r="B24" s="376" t="s">
        <v>3783</v>
      </c>
      <c r="C24" s="377">
        <f>SUMIF('ПО КОРИСНИЦИМА'!$F$4:$F$544,'По основ. нам.'!A24,'ПО КОРИСНИЦИМА'!$H$4:$H$544)</f>
        <v>0</v>
      </c>
      <c r="D24" s="1116">
        <f t="shared" si="2"/>
        <v>0</v>
      </c>
      <c r="E24" s="1091">
        <f>SUMIF('ПО КОРИСНИЦИМА'!$F$4:$F$544,'По основ. нам.'!A24,'ПО КОРИСНИЦИМА'!$I$4:$I$544)</f>
        <v>0</v>
      </c>
      <c r="F24" s="1092">
        <f t="shared" si="3"/>
        <v>0</v>
      </c>
    </row>
    <row r="25" spans="1:6" hidden="1">
      <c r="A25" s="375">
        <v>433</v>
      </c>
      <c r="B25" s="376" t="s">
        <v>3784</v>
      </c>
      <c r="C25" s="377">
        <f>SUMIF('ПО КОРИСНИЦИМА'!$F$4:$F$544,'По основ. нам.'!A25,'ПО КОРИСНИЦИМА'!$H$4:$H$544)</f>
        <v>0</v>
      </c>
      <c r="D25" s="1116">
        <f t="shared" si="2"/>
        <v>0</v>
      </c>
      <c r="E25" s="1091">
        <f>SUMIF('ПО КОРИСНИЦИМА'!$F$4:$F$544,'По основ. нам.'!A25,'ПО КОРИСНИЦИМА'!$I$4:$I$544)</f>
        <v>0</v>
      </c>
      <c r="F25" s="1092">
        <f t="shared" si="3"/>
        <v>0</v>
      </c>
    </row>
    <row r="26" spans="1:6" hidden="1">
      <c r="A26" s="375">
        <v>434</v>
      </c>
      <c r="B26" s="376" t="s">
        <v>3785</v>
      </c>
      <c r="C26" s="377">
        <f>SUMIF('ПО КОРИСНИЦИМА'!$F$4:$F$544,'По основ. нам.'!A26,'ПО КОРИСНИЦИМА'!$H$4:$H$544)</f>
        <v>0</v>
      </c>
      <c r="D26" s="1116">
        <f t="shared" si="2"/>
        <v>0</v>
      </c>
      <c r="E26" s="1091">
        <f>SUMIF('ПО КОРИСНИЦИМА'!$F$4:$F$544,'По основ. нам.'!A26,'ПО КОРИСНИЦИМА'!$I$4:$I$544)</f>
        <v>0</v>
      </c>
      <c r="F26" s="1091">
        <f t="shared" si="3"/>
        <v>0</v>
      </c>
    </row>
    <row r="27" spans="1:6" hidden="1">
      <c r="A27" s="375">
        <v>435</v>
      </c>
      <c r="B27" s="376" t="s">
        <v>3786</v>
      </c>
      <c r="C27" s="377">
        <f>SUMIF('ПО КОРИСНИЦИМА'!$F$4:$F$544,'По основ. нам.'!A27,'ПО КОРИСНИЦИМА'!$H$4:$H$544)</f>
        <v>0</v>
      </c>
      <c r="D27" s="1116">
        <f t="shared" si="2"/>
        <v>0</v>
      </c>
      <c r="E27" s="1091">
        <f>SUMIF('ПО КОРИСНИЦИМА'!$F$4:$F$544,'По основ. нам.'!A27,'ПО КОРИСНИЦИМА'!$I$4:$I$544)</f>
        <v>0</v>
      </c>
      <c r="F27" s="1092">
        <f t="shared" si="3"/>
        <v>0</v>
      </c>
    </row>
    <row r="28" spans="1:6" hidden="1">
      <c r="A28" s="372" t="s">
        <v>3787</v>
      </c>
      <c r="B28" s="373" t="s">
        <v>3788</v>
      </c>
      <c r="C28" s="374">
        <f>SUM(C29:C32)</f>
        <v>0</v>
      </c>
      <c r="D28" s="1115">
        <f t="shared" si="2"/>
        <v>0</v>
      </c>
      <c r="E28" s="1090">
        <f>SUM(E29:E32)</f>
        <v>0</v>
      </c>
      <c r="F28" s="1090">
        <f t="shared" si="3"/>
        <v>0</v>
      </c>
    </row>
    <row r="29" spans="1:6" hidden="1">
      <c r="A29" s="375">
        <v>441</v>
      </c>
      <c r="B29" s="376" t="s">
        <v>3789</v>
      </c>
      <c r="C29" s="377">
        <f>SUMIF('ПО КОРИСНИЦИМА'!$F$4:$F$544,'По основ. нам.'!A29,'ПО КОРИСНИЦИМА'!$H$4:$H$544)</f>
        <v>0</v>
      </c>
      <c r="D29" s="1116">
        <f t="shared" si="2"/>
        <v>0</v>
      </c>
      <c r="E29" s="1091">
        <f>SUMIF('ПО КОРИСНИЦИМА'!$F$4:$F$544,'По основ. нам.'!A29,'ПО КОРИСНИЦИМА'!$I$4:$I$544)</f>
        <v>0</v>
      </c>
      <c r="F29" s="1091">
        <f t="shared" si="3"/>
        <v>0</v>
      </c>
    </row>
    <row r="30" spans="1:6" hidden="1">
      <c r="A30" s="375">
        <v>442</v>
      </c>
      <c r="B30" s="376" t="s">
        <v>3790</v>
      </c>
      <c r="C30" s="377">
        <f>SUMIF('ПО КОРИСНИЦИМА'!$F$4:$F$544,'По основ. нам.'!A30,'ПО КОРИСНИЦИМА'!$H$4:$H$544)</f>
        <v>0</v>
      </c>
      <c r="D30" s="1116">
        <f t="shared" si="2"/>
        <v>0</v>
      </c>
      <c r="E30" s="1091">
        <f>SUMIF('ПО КОРИСНИЦИМА'!$F$4:$F$544,'По основ. нам.'!A30,'ПО КОРИСНИЦИМА'!$I$4:$I$544)</f>
        <v>0</v>
      </c>
      <c r="F30" s="1092">
        <f t="shared" si="3"/>
        <v>0</v>
      </c>
    </row>
    <row r="31" spans="1:6" hidden="1">
      <c r="A31" s="375">
        <v>443</v>
      </c>
      <c r="B31" s="376" t="s">
        <v>3791</v>
      </c>
      <c r="C31" s="377">
        <f>SUMIF('ПО КОРИСНИЦИМА'!$F$4:$F$544,'По основ. нам.'!A31,'ПО КОРИСНИЦИМА'!$H$4:$H$544)</f>
        <v>0</v>
      </c>
      <c r="D31" s="1116">
        <f t="shared" si="2"/>
        <v>0</v>
      </c>
      <c r="E31" s="1091">
        <f>SUMIF('ПО КОРИСНИЦИМА'!$F$4:$F$544,'По основ. нам.'!A31,'ПО КОРИСНИЦИМА'!$I$4:$I$544)</f>
        <v>0</v>
      </c>
      <c r="F31" s="1092">
        <f t="shared" si="3"/>
        <v>0</v>
      </c>
    </row>
    <row r="32" spans="1:6" hidden="1">
      <c r="A32" s="379">
        <v>444</v>
      </c>
      <c r="B32" s="380" t="s">
        <v>3792</v>
      </c>
      <c r="C32" s="377">
        <f>SUMIF('ПО КОРИСНИЦИМА'!$F$4:$F$544,'По основ. нам.'!A32,'ПО КОРИСНИЦИМА'!$H$4:$H$544)</f>
        <v>0</v>
      </c>
      <c r="D32" s="1116">
        <f t="shared" si="2"/>
        <v>0</v>
      </c>
      <c r="E32" s="1091">
        <f>SUMIF('ПО КОРИСНИЦИМА'!$F$4:$F$544,'По основ. нам.'!A32,'ПО КОРИСНИЦИМА'!$I$4:$I$544)</f>
        <v>0</v>
      </c>
      <c r="F32" s="1092">
        <f t="shared" si="3"/>
        <v>0</v>
      </c>
    </row>
    <row r="33" spans="1:6">
      <c r="A33" s="372" t="s">
        <v>3793</v>
      </c>
      <c r="B33" s="373" t="s">
        <v>3794</v>
      </c>
      <c r="C33" s="374">
        <f>SUM(C34:C38)</f>
        <v>25450000</v>
      </c>
      <c r="D33" s="1115">
        <f>E33/C33*100</f>
        <v>66.219895599214141</v>
      </c>
      <c r="E33" s="1090">
        <f>SUM(E34:E38)</f>
        <v>16852963.43</v>
      </c>
      <c r="F33" s="1090">
        <f>C33-E33</f>
        <v>8597036.5700000003</v>
      </c>
    </row>
    <row r="34" spans="1:6" ht="23.25">
      <c r="A34" s="375" t="s">
        <v>3915</v>
      </c>
      <c r="B34" s="414" t="s">
        <v>1693</v>
      </c>
      <c r="C34" s="377">
        <f>SUMIF('ПО КОРИСНИЦИМА'!$F$4:$F$544,'По основ. нам.'!A34,'ПО КОРИСНИЦИМА'!$H$4:$H$544)</f>
        <v>12000000</v>
      </c>
      <c r="D34" s="1116">
        <f>E34/C34*100</f>
        <v>78.674695249999999</v>
      </c>
      <c r="E34" s="1091">
        <f>SUMIF('ПО КОРИСНИЦИМА'!$F$4:$F$544,'По основ. нам.'!A34,'ПО КОРИСНИЦИМА'!$I$4:$I$544)</f>
        <v>9440963.4299999997</v>
      </c>
      <c r="F34" s="1091">
        <f>C34-E34</f>
        <v>2559036.5700000003</v>
      </c>
    </row>
    <row r="35" spans="1:6" ht="34.5">
      <c r="A35" s="375" t="s">
        <v>3849</v>
      </c>
      <c r="B35" s="414" t="s">
        <v>1702</v>
      </c>
      <c r="C35" s="377">
        <f>SUMIF('ПО КОРИСНИЦИМА'!$F$4:$F$544,'По основ. нам.'!A35,'ПО КОРИСНИЦИМА'!$H$4:$H$544)</f>
        <v>7450000</v>
      </c>
      <c r="D35" s="1116">
        <f t="shared" ref="D35:D38" si="6">E35/C35*100</f>
        <v>32.375838926174495</v>
      </c>
      <c r="E35" s="1091">
        <f>SUMIF('ПО КОРИСНИЦИМА'!$F$4:$F$544,'По основ. нам.'!A35,'ПО КОРИСНИЦИМА'!$I$4:$I$544)</f>
        <v>2412000</v>
      </c>
      <c r="F35" s="1091">
        <f t="shared" ref="F35:F38" si="7">C35-E35</f>
        <v>5038000</v>
      </c>
    </row>
    <row r="36" spans="1:6" hidden="1">
      <c r="A36" s="375" t="s">
        <v>3850</v>
      </c>
      <c r="B36" s="376" t="s">
        <v>3795</v>
      </c>
      <c r="C36" s="377">
        <f>SUMIF('ПО КОРИСНИЦИМА'!$F$4:$F$544,'По основ. нам.'!A36,'ПО КОРИСНИЦИМА'!$H$4:$H$544)</f>
        <v>0</v>
      </c>
      <c r="D36" s="1116" t="e">
        <f t="shared" si="6"/>
        <v>#DIV/0!</v>
      </c>
      <c r="E36" s="1091">
        <f>SUMIF('ПО КОРИСНИЦИМА'!$F$4:$F$544,'По основ. нам.'!A36,'ПО КОРИСНИЦИМА'!$I$4:$I$544)</f>
        <v>0</v>
      </c>
      <c r="F36" s="1091">
        <f t="shared" si="7"/>
        <v>0</v>
      </c>
    </row>
    <row r="37" spans="1:6" hidden="1">
      <c r="A37" s="375">
        <v>453</v>
      </c>
      <c r="B37" s="376" t="s">
        <v>3796</v>
      </c>
      <c r="C37" s="377">
        <f>SUMIF('ПО КОРИСНИЦИМА'!$F$4:$F$544,'По основ. нам.'!A37,'ПО КОРИСНИЦИМА'!$H$4:$H$544)</f>
        <v>0</v>
      </c>
      <c r="D37" s="1116" t="e">
        <f t="shared" si="6"/>
        <v>#DIV/0!</v>
      </c>
      <c r="E37" s="1091">
        <f>SUMIF('ПО КОРИСНИЦИМА'!$F$4:$F$544,'По основ. нам.'!A37,'ПО КОРИСНИЦИМА'!$I$4:$I$544)</f>
        <v>0</v>
      </c>
      <c r="F37" s="1091">
        <f t="shared" si="7"/>
        <v>0</v>
      </c>
    </row>
    <row r="38" spans="1:6">
      <c r="A38" s="375" t="s">
        <v>3917</v>
      </c>
      <c r="B38" s="376" t="s">
        <v>3797</v>
      </c>
      <c r="C38" s="377">
        <f>SUMIF('ПО КОРИСНИЦИМА'!$F$4:$F$544,'По основ. нам.'!A38,'ПО КОРИСНИЦИМА'!$H$4:$H$544)</f>
        <v>6000000</v>
      </c>
      <c r="D38" s="1116">
        <f t="shared" si="6"/>
        <v>83.333333333333343</v>
      </c>
      <c r="E38" s="1091">
        <f>SUMIF('ПО КОРИСНИЦИМА'!$F$4:$F$544,'По основ. нам.'!A38,'ПО КОРИСНИЦИМА'!$I$4:$I$544)</f>
        <v>5000000</v>
      </c>
      <c r="F38" s="1091">
        <f t="shared" si="7"/>
        <v>1000000</v>
      </c>
    </row>
    <row r="39" spans="1:6">
      <c r="A39" s="372" t="s">
        <v>3798</v>
      </c>
      <c r="B39" s="373" t="s">
        <v>3711</v>
      </c>
      <c r="C39" s="374">
        <f>SUM(C40:C45)</f>
        <v>96850000</v>
      </c>
      <c r="D39" s="1115">
        <f>E39/C39*100</f>
        <v>68.326710800206499</v>
      </c>
      <c r="E39" s="1090">
        <f>SUM(E40:E45)</f>
        <v>66174419.409999996</v>
      </c>
      <c r="F39" s="1090">
        <f>C39-E39</f>
        <v>30675580.590000004</v>
      </c>
    </row>
    <row r="40" spans="1:6" hidden="1">
      <c r="A40" s="381">
        <v>461</v>
      </c>
      <c r="B40" s="382" t="s">
        <v>3799</v>
      </c>
      <c r="C40" s="377">
        <f>SUMIF('ПО КОРИСНИЦИМА'!$F$4:$F$544,'По основ. нам.'!A40,'ПО КОРИСНИЦИМА'!$H$4:$H$544)</f>
        <v>0</v>
      </c>
      <c r="D40" s="1116">
        <f t="shared" ref="D40:D67" si="8">IFERROR(C40/$C$88,"-")</f>
        <v>0</v>
      </c>
      <c r="E40" s="1091">
        <f>SUMIF('ПО КОРИСНИЦИМА'!$F$4:$F$544,'По основ. нам.'!A40,'ПО КОРИСНИЦИМА'!$I$4:$I$544)</f>
        <v>0</v>
      </c>
      <c r="F40" s="1092">
        <f t="shared" si="3"/>
        <v>0</v>
      </c>
    </row>
    <row r="41" spans="1:6" ht="22.5" hidden="1">
      <c r="A41" s="381">
        <v>462</v>
      </c>
      <c r="B41" s="382" t="s">
        <v>3800</v>
      </c>
      <c r="C41" s="377">
        <f>SUMIF('ПО КОРИСНИЦИМА'!$F$4:$F$544,'По основ. нам.'!A41,'ПО КОРИСНИЦИМА'!$H$4:$H$544)</f>
        <v>0</v>
      </c>
      <c r="D41" s="1116">
        <f t="shared" si="8"/>
        <v>0</v>
      </c>
      <c r="E41" s="1091">
        <f>SUMIF('ПО КОРИСНИЦИМА'!$F$4:$F$544,'По основ. нам.'!A41,'ПО КОРИСНИЦИМА'!$I$4:$I$544)</f>
        <v>0</v>
      </c>
      <c r="F41" s="1092">
        <f t="shared" si="3"/>
        <v>0</v>
      </c>
    </row>
    <row r="42" spans="1:6">
      <c r="A42" s="381">
        <v>4631</v>
      </c>
      <c r="B42" s="382" t="s">
        <v>3801</v>
      </c>
      <c r="C42" s="377">
        <f>SUMIF('ПО КОРИСНИЦИМА'!$F$4:$F$544,'По основ. нам.'!A42,'ПО КОРИСНИЦИМА'!$H$4:$H$544)</f>
        <v>62800000</v>
      </c>
      <c r="D42" s="1116">
        <f>E42/C42*100</f>
        <v>71.373813343949038</v>
      </c>
      <c r="E42" s="1091">
        <f>SUMIF('ПО КОРИСНИЦИМА'!$F$4:$F$544,'По основ. нам.'!A42,'ПО КОРИСНИЦИМА'!$I$4:$I$544)</f>
        <v>44822754.780000001</v>
      </c>
      <c r="F42" s="1091">
        <f>C42-E42</f>
        <v>17977245.219999999</v>
      </c>
    </row>
    <row r="43" spans="1:6" ht="22.5">
      <c r="A43" s="381">
        <v>4632</v>
      </c>
      <c r="B43" s="382" t="s">
        <v>3802</v>
      </c>
      <c r="C43" s="377">
        <f>SUMIF('ПО КОРИСНИЦИМА'!$F$4:$F$544,'По основ. нам.'!A43,'ПО КОРИСНИЦИМА'!$H$4:$H$544)</f>
        <v>11450000</v>
      </c>
      <c r="D43" s="1116">
        <f t="shared" ref="D43:D45" si="9">E43/C43*100</f>
        <v>46.299464541484717</v>
      </c>
      <c r="E43" s="1091">
        <f>SUMIF('ПО КОРИСНИЦИМА'!$F$4:$F$544,'По основ. нам.'!A43,'ПО КОРИСНИЦИМА'!$I$4:$I$544)</f>
        <v>5301288.6899999995</v>
      </c>
      <c r="F43" s="1091">
        <f t="shared" ref="F43:F45" si="10">C43-E43</f>
        <v>6148711.3100000005</v>
      </c>
    </row>
    <row r="44" spans="1:6" ht="22.5">
      <c r="A44" s="381">
        <v>464</v>
      </c>
      <c r="B44" s="382" t="s">
        <v>3803</v>
      </c>
      <c r="C44" s="377">
        <f>SUMIF('ПО КОРИСНИЦИМА'!$F$4:$F$544,'По основ. нам.'!A44,'ПО КОРИСНИЦИМА'!$H$4:$H$544)</f>
        <v>9100000</v>
      </c>
      <c r="D44" s="1116">
        <f t="shared" si="9"/>
        <v>86.761263736263743</v>
      </c>
      <c r="E44" s="1091">
        <f>SUMIF('ПО КОРИСНИЦИМА'!$F$4:$F$544,'По основ. нам.'!A44,'ПО КОРИСНИЦИМА'!$I$4:$I$544)</f>
        <v>7895275</v>
      </c>
      <c r="F44" s="1091">
        <f t="shared" si="10"/>
        <v>1204725</v>
      </c>
    </row>
    <row r="45" spans="1:6">
      <c r="A45" s="381">
        <v>465</v>
      </c>
      <c r="B45" s="382" t="s">
        <v>3804</v>
      </c>
      <c r="C45" s="377">
        <f>SUMIF('ПО КОРИСНИЦИМА'!$F$4:$F$544,'По основ. нам.'!A45,'ПО КОРИСНИЦИМА'!$H$4:$H$544)</f>
        <v>13500000</v>
      </c>
      <c r="D45" s="1116">
        <f t="shared" si="9"/>
        <v>60.408155111111114</v>
      </c>
      <c r="E45" s="1091">
        <f>SUMIF('ПО КОРИСНИЦИМА'!$F$4:$F$544,'По основ. нам.'!A45,'ПО КОРИСНИЦИМА'!$I$4:$I$544)</f>
        <v>8155100.9400000004</v>
      </c>
      <c r="F45" s="1091">
        <f t="shared" si="10"/>
        <v>5344899.0599999996</v>
      </c>
    </row>
    <row r="46" spans="1:6">
      <c r="A46" s="372" t="s">
        <v>3805</v>
      </c>
      <c r="B46" s="373" t="s">
        <v>3806</v>
      </c>
      <c r="C46" s="374">
        <f>SUM(C47)</f>
        <v>10300000</v>
      </c>
      <c r="D46" s="1115">
        <f>E46/C46*100</f>
        <v>79.144012233009704</v>
      </c>
      <c r="E46" s="1090">
        <f>SUM(E47)</f>
        <v>8151833.2599999998</v>
      </c>
      <c r="F46" s="1090">
        <f>C46-E46</f>
        <v>2148166.7400000002</v>
      </c>
    </row>
    <row r="47" spans="1:6">
      <c r="A47" s="375">
        <v>472</v>
      </c>
      <c r="B47" s="376" t="s">
        <v>3807</v>
      </c>
      <c r="C47" s="377">
        <f>SUMIF('ПО КОРИСНИЦИМА'!$F$4:$F$544,'По основ. нам.'!A47,'ПО КОРИСНИЦИМА'!$H$4:$H$544)</f>
        <v>10300000</v>
      </c>
      <c r="D47" s="1116">
        <f>E47/C47*100</f>
        <v>79.144012233009704</v>
      </c>
      <c r="E47" s="1091">
        <f>SUMIF('ПО КОРИСНИЦИМА'!$F$4:$F$544,'По основ. нам.'!A47,'ПО КОРИСНИЦИМА'!$I$4:$I$544)</f>
        <v>8151833.2599999998</v>
      </c>
      <c r="F47" s="1091">
        <f>C47-E47</f>
        <v>2148166.7400000002</v>
      </c>
    </row>
    <row r="48" spans="1:6">
      <c r="A48" s="372" t="s">
        <v>3808</v>
      </c>
      <c r="B48" s="373" t="s">
        <v>3809</v>
      </c>
      <c r="C48" s="374">
        <f>SUM(C49:C54)</f>
        <v>62170359</v>
      </c>
      <c r="D48" s="1115">
        <f>E48/C48*100</f>
        <v>65.364634310701021</v>
      </c>
      <c r="E48" s="1090">
        <f>SUM(E49:E54)</f>
        <v>40637427.810000002</v>
      </c>
      <c r="F48" s="1090">
        <f>C48-E48</f>
        <v>21532931.189999998</v>
      </c>
    </row>
    <row r="49" spans="1:6">
      <c r="A49" s="375">
        <v>481</v>
      </c>
      <c r="B49" s="376" t="s">
        <v>3810</v>
      </c>
      <c r="C49" s="377">
        <f>SUMIF('ПО КОРИСНИЦИМА'!$F$4:$F$544,'По основ. нам.'!A49,'ПО КОРИСНИЦИМА'!$H$4:$H$544)</f>
        <v>52880000</v>
      </c>
      <c r="D49" s="1116">
        <f>E49/C49*100</f>
        <v>66.931283037065043</v>
      </c>
      <c r="E49" s="1091">
        <f>SUMIF('ПО КОРИСНИЦИМА'!$F$4:$F$544,'По основ. нам.'!A49,'ПО КОРИСНИЦИМА'!$I$4:$I$544)</f>
        <v>35393262.469999999</v>
      </c>
      <c r="F49" s="1091">
        <f>C49-E49</f>
        <v>17486737.530000001</v>
      </c>
    </row>
    <row r="50" spans="1:6">
      <c r="A50" s="375">
        <v>482</v>
      </c>
      <c r="B50" s="376" t="s">
        <v>3811</v>
      </c>
      <c r="C50" s="377">
        <f>SUMIF('ПО КОРИСНИЦИМА'!$F$4:$F$544,'По основ. нам.'!A50,'ПО КОРИСНИЦИМА'!$H$4:$H$544)</f>
        <v>1900000</v>
      </c>
      <c r="D50" s="1116">
        <f t="shared" ref="D50:D53" si="11">E50/C50*100</f>
        <v>60.781882631578945</v>
      </c>
      <c r="E50" s="1091">
        <f>SUMIF('ПО КОРИСНИЦИМА'!$F$4:$F$544,'По основ. нам.'!A50,'ПО КОРИСНИЦИМА'!$I$4:$I$544)</f>
        <v>1154855.77</v>
      </c>
      <c r="F50" s="1091">
        <f t="shared" ref="F50:F53" si="12">C50-E50</f>
        <v>745144.23</v>
      </c>
    </row>
    <row r="51" spans="1:6">
      <c r="A51" s="375">
        <v>483</v>
      </c>
      <c r="B51" s="376" t="s">
        <v>3812</v>
      </c>
      <c r="C51" s="377">
        <f>SUMIF('ПО КОРИСНИЦИМА'!$F$4:$F$544,'По основ. нам.'!A51,'ПО КОРИСНИЦИМА'!$H$4:$H$544)</f>
        <v>3650000</v>
      </c>
      <c r="D51" s="1116">
        <f t="shared" si="11"/>
        <v>38.662444931506847</v>
      </c>
      <c r="E51" s="1091">
        <f>SUMIF('ПО КОРИСНИЦИМА'!$F$4:$F$544,'По основ. нам.'!A51,'ПО КОРИСНИЦИМА'!$I$4:$I$544)</f>
        <v>1411179.24</v>
      </c>
      <c r="F51" s="1091">
        <f t="shared" si="12"/>
        <v>2238820.7599999998</v>
      </c>
    </row>
    <row r="52" spans="1:6" ht="34.5">
      <c r="A52" s="375">
        <v>484</v>
      </c>
      <c r="B52" s="415" t="s">
        <v>3813</v>
      </c>
      <c r="C52" s="377">
        <f>SUMIF('ПО КОРИСНИЦИМА'!$F$4:$F$544,'По основ. нам.'!A52,'ПО КОРИСНИЦИМА'!$H$4:$H$544)</f>
        <v>3000000</v>
      </c>
      <c r="D52" s="1116">
        <f t="shared" si="11"/>
        <v>78</v>
      </c>
      <c r="E52" s="1091">
        <f>SUMIF('ПО КОРИСНИЦИМА'!$F$4:$F$544,'По основ. нам.'!A52,'ПО КОРИСНИЦИМА'!$I$4:$I$544)</f>
        <v>2340000</v>
      </c>
      <c r="F52" s="1091">
        <f t="shared" si="12"/>
        <v>660000</v>
      </c>
    </row>
    <row r="53" spans="1:6" ht="23.25">
      <c r="A53" s="375">
        <v>485</v>
      </c>
      <c r="B53" s="415" t="s">
        <v>3814</v>
      </c>
      <c r="C53" s="377">
        <f>SUMIF('ПО КОРИСНИЦИМА'!$F$4:$F$544,'По основ. нам.'!A53,'ПО КОРИСНИЦИМА'!$H$4:$H$544)</f>
        <v>740359</v>
      </c>
      <c r="D53" s="1116">
        <f t="shared" si="11"/>
        <v>45.671131167447136</v>
      </c>
      <c r="E53" s="1091">
        <f>SUMIF('ПО КОРИСНИЦИМА'!$F$4:$F$544,'По основ. нам.'!A53,'ПО КОРИСНИЦИМА'!$I$4:$I$544)</f>
        <v>338130.32999999996</v>
      </c>
      <c r="F53" s="1091">
        <f t="shared" si="12"/>
        <v>402228.67000000004</v>
      </c>
    </row>
    <row r="54" spans="1:6" hidden="1">
      <c r="A54" s="375">
        <v>489</v>
      </c>
      <c r="B54" s="376" t="s">
        <v>3815</v>
      </c>
      <c r="C54" s="377">
        <f>SUMIF('ПО КОРИСНИЦИМА'!$F$4:$F$544,'По основ. нам.'!A54,'ПО КОРИСНИЦИМА'!$H$4:$H$544)</f>
        <v>0</v>
      </c>
      <c r="D54" s="1116">
        <f t="shared" si="8"/>
        <v>0</v>
      </c>
      <c r="E54" s="1091">
        <f>SUMIF('ПО КОРИСНИЦИМА'!$F$4:$F$544,'По основ. нам.'!A54,'ПО КОРИСНИЦИМА'!$I$4:$I$544)</f>
        <v>0</v>
      </c>
      <c r="F54" s="1091">
        <f t="shared" si="3"/>
        <v>0</v>
      </c>
    </row>
    <row r="55" spans="1:6" ht="22.5">
      <c r="A55" s="383">
        <v>490</v>
      </c>
      <c r="B55" s="384" t="s">
        <v>3816</v>
      </c>
      <c r="C55" s="374">
        <f>SUM(C56:C61)</f>
        <v>23997641</v>
      </c>
      <c r="D55" s="1115">
        <v>0.93</v>
      </c>
      <c r="E55" s="1090">
        <f>SUM(E60:E61)</f>
        <v>4002359</v>
      </c>
      <c r="F55" s="1090">
        <f>C55-E55</f>
        <v>19995282</v>
      </c>
    </row>
    <row r="56" spans="1:6" ht="23.25" hidden="1">
      <c r="A56" s="385">
        <v>494</v>
      </c>
      <c r="B56" s="386" t="s">
        <v>4023</v>
      </c>
      <c r="C56" s="377">
        <f>SUMIF('ПО КОРИСНИЦИМА'!$F$4:$F$544,'По основ. нам.'!A56,'ПО КОРИСНИЦИМА'!$H$4:$H$544)</f>
        <v>0</v>
      </c>
      <c r="D56" s="1116">
        <f t="shared" si="8"/>
        <v>0</v>
      </c>
      <c r="E56" s="1091">
        <f>SUMIF('ПО КОРИСНИЦИМА'!$F$4:$F$544,'По основ. нам.'!A56,'ПО КОРИСНИЦИМА'!$I$4:$I$544)</f>
        <v>0</v>
      </c>
      <c r="F56" s="1091">
        <f t="shared" si="3"/>
        <v>0</v>
      </c>
    </row>
    <row r="57" spans="1:6" ht="23.25" hidden="1">
      <c r="A57" s="385">
        <v>495</v>
      </c>
      <c r="B57" s="386" t="s">
        <v>4024</v>
      </c>
      <c r="C57" s="377">
        <f>SUMIF('ПО КОРИСНИЦИМА'!$F$4:$F$544,'По основ. нам.'!A57,'ПО КОРИСНИЦИМА'!$H$4:$H$544)</f>
        <v>0</v>
      </c>
      <c r="D57" s="1116">
        <f t="shared" si="8"/>
        <v>0</v>
      </c>
      <c r="E57" s="1091">
        <f>SUMIF('ПО КОРИСНИЦИМА'!$F$4:$F$544,'По основ. нам.'!A57,'ПО КОРИСНИЦИМА'!$I$4:$I$544)</f>
        <v>0</v>
      </c>
      <c r="F57" s="1091">
        <f t="shared" si="3"/>
        <v>0</v>
      </c>
    </row>
    <row r="58" spans="1:6" ht="34.5" hidden="1">
      <c r="A58" s="385">
        <v>496</v>
      </c>
      <c r="B58" s="386" t="s">
        <v>4025</v>
      </c>
      <c r="C58" s="377">
        <f>SUMIF('ПО КОРИСНИЦИМА'!$F$4:$F$544,'По основ. нам.'!A58,'ПО КОРИСНИЦИМА'!$H$4:$H$544)</f>
        <v>0</v>
      </c>
      <c r="D58" s="1116">
        <f t="shared" si="8"/>
        <v>0</v>
      </c>
      <c r="E58" s="1091">
        <f>SUMIF('ПО КОРИСНИЦИМА'!$F$4:$F$544,'По основ. нам.'!A58,'ПО КОРИСНИЦИМА'!$I$4:$I$544)</f>
        <v>0</v>
      </c>
      <c r="F58" s="1091">
        <f t="shared" si="3"/>
        <v>0</v>
      </c>
    </row>
    <row r="59" spans="1:6" ht="23.25" hidden="1">
      <c r="A59" s="385">
        <v>499</v>
      </c>
      <c r="B59" s="386" t="s">
        <v>4026</v>
      </c>
      <c r="C59" s="377"/>
      <c r="D59" s="1116">
        <f t="shared" si="8"/>
        <v>0</v>
      </c>
      <c r="E59" s="1091">
        <f>SUMIF('ПО КОРИСНИЦИМА'!$F$4:$F$544,'По основ. нам.'!A59,'ПО КОРИСНИЦИМА'!$I$4:$I$544)</f>
        <v>0</v>
      </c>
      <c r="F59" s="1091">
        <f t="shared" si="3"/>
        <v>0</v>
      </c>
    </row>
    <row r="60" spans="1:6">
      <c r="A60" s="385">
        <v>49911</v>
      </c>
      <c r="B60" s="386" t="s">
        <v>3817</v>
      </c>
      <c r="C60" s="377">
        <v>1000000</v>
      </c>
      <c r="D60" s="1116">
        <f t="shared" si="8"/>
        <v>1.1989113884592791E-3</v>
      </c>
      <c r="E60" s="1091">
        <v>0</v>
      </c>
      <c r="F60" s="1091">
        <f>C60-E60</f>
        <v>1000000</v>
      </c>
    </row>
    <row r="61" spans="1:6">
      <c r="A61" s="375" t="s">
        <v>3818</v>
      </c>
      <c r="B61" s="376" t="s">
        <v>3819</v>
      </c>
      <c r="C61" s="377">
        <v>22997641</v>
      </c>
      <c r="D61" s="1116">
        <v>14.82</v>
      </c>
      <c r="E61" s="1091">
        <v>4002359</v>
      </c>
      <c r="F61" s="1091">
        <f>C61</f>
        <v>22997641</v>
      </c>
    </row>
    <row r="62" spans="1:6">
      <c r="A62" s="387" t="s">
        <v>3920</v>
      </c>
      <c r="B62" s="388" t="s">
        <v>4047</v>
      </c>
      <c r="C62" s="389">
        <f>SUM(C63,C69,C74,C78)</f>
        <v>234302000</v>
      </c>
      <c r="D62" s="1126">
        <f>E62/C62*100</f>
        <v>15.654882531945951</v>
      </c>
      <c r="E62" s="1093">
        <f>SUM(E63,E69,E74,E78)</f>
        <v>36679702.870000005</v>
      </c>
      <c r="F62" s="1093">
        <f>C62-E62</f>
        <v>197622297.13</v>
      </c>
    </row>
    <row r="63" spans="1:6">
      <c r="A63" s="372" t="s">
        <v>3820</v>
      </c>
      <c r="B63" s="373" t="s">
        <v>3821</v>
      </c>
      <c r="C63" s="374">
        <f>SUM(C64:C68)</f>
        <v>227302000</v>
      </c>
      <c r="D63" s="1115">
        <f>E63/C63*100</f>
        <v>13.234586690834222</v>
      </c>
      <c r="E63" s="1090">
        <f>SUM(E64:E68)</f>
        <v>30082480.240000002</v>
      </c>
      <c r="F63" s="1090">
        <f>C63-E63</f>
        <v>197219519.75999999</v>
      </c>
    </row>
    <row r="64" spans="1:6">
      <c r="A64" s="375">
        <v>511</v>
      </c>
      <c r="B64" s="376" t="s">
        <v>3822</v>
      </c>
      <c r="C64" s="377">
        <f>SUMIF('ПО КОРИСНИЦИМА'!$F$4:$F$544,'По основ. нам.'!A64,'ПО КОРИСНИЦИМА'!$H$4:$H$544)</f>
        <v>202902000</v>
      </c>
      <c r="D64" s="1116">
        <f>E64/C64*100</f>
        <v>12.99799751111374</v>
      </c>
      <c r="E64" s="1091">
        <f>SUMIF('ПО КОРИСНИЦИМА'!$F$4:$F$544,'По основ. нам.'!A64,'ПО КОРИСНИЦИМА'!$I$4:$I$544)</f>
        <v>26373196.91</v>
      </c>
      <c r="F64" s="1091">
        <f>C64-E64</f>
        <v>176528803.09</v>
      </c>
    </row>
    <row r="65" spans="1:6">
      <c r="A65" s="375">
        <v>512</v>
      </c>
      <c r="B65" s="376" t="s">
        <v>3823</v>
      </c>
      <c r="C65" s="377">
        <f>SUMIF('ПО КОРИСНИЦИМА'!$F$4:$F$544,'По основ. нам.'!A65,'ПО КОРИСНИЦИМА'!$H$4:$H$544)</f>
        <v>17900000</v>
      </c>
      <c r="D65" s="1116">
        <f>E65/C65*100</f>
        <v>15.458342625698323</v>
      </c>
      <c r="E65" s="1091">
        <f>SUMIF('ПО КОРИСНИЦИМА'!$F$4:$F$544,'По основ. нам.'!A65,'ПО КОРИСНИЦИМА'!$I$4:$I$544)</f>
        <v>2767043.33</v>
      </c>
      <c r="F65" s="1091">
        <f t="shared" ref="F65:F68" si="13">C65-E65</f>
        <v>15132956.67</v>
      </c>
    </row>
    <row r="66" spans="1:6" hidden="1">
      <c r="A66" s="375">
        <v>513</v>
      </c>
      <c r="B66" s="376" t="s">
        <v>3824</v>
      </c>
      <c r="C66" s="377">
        <f>SUMIF('ПО КОРИСНИЦИМА'!$F$4:$F$544,'По основ. нам.'!A66,'ПО КОРИСНИЦИМА'!$H$4:$H$544)</f>
        <v>0</v>
      </c>
      <c r="D66" s="1116">
        <f t="shared" si="8"/>
        <v>0</v>
      </c>
      <c r="E66" s="1091">
        <f>SUMIF('ПО КОРИСНИЦИМА'!$F$4:$F$544,'По основ. нам.'!A66,'ПО КОРИСНИЦИМА'!$I$4:$I$544)</f>
        <v>0</v>
      </c>
      <c r="F66" s="1091">
        <f t="shared" si="13"/>
        <v>0</v>
      </c>
    </row>
    <row r="67" spans="1:6" hidden="1">
      <c r="A67" s="375">
        <v>514</v>
      </c>
      <c r="B67" s="376" t="s">
        <v>3825</v>
      </c>
      <c r="C67" s="377">
        <f>SUMIF('ПО КОРИСНИЦИМА'!$F$4:$F$544,'По основ. нам.'!A67,'ПО КОРИСНИЦИМА'!$H$4:$H$544)</f>
        <v>0</v>
      </c>
      <c r="D67" s="1116">
        <f t="shared" si="8"/>
        <v>0</v>
      </c>
      <c r="E67" s="1091">
        <f>SUMIF('ПО КОРИСНИЦИМА'!$F$4:$F$544,'По основ. нам.'!A67,'ПО КОРИСНИЦИМА'!$I$4:$I$544)</f>
        <v>0</v>
      </c>
      <c r="F67" s="1091">
        <f t="shared" si="13"/>
        <v>0</v>
      </c>
    </row>
    <row r="68" spans="1:6">
      <c r="A68" s="375">
        <v>515</v>
      </c>
      <c r="B68" s="376" t="s">
        <v>3826</v>
      </c>
      <c r="C68" s="377">
        <f>SUMIF('ПО КОРИСНИЦИМА'!$F$4:$F$544,'По основ. нам.'!A68,'ПО КОРИСНИЦИМА'!$H$4:$H$544)</f>
        <v>6500000</v>
      </c>
      <c r="D68" s="1116">
        <f>E68/C68*100</f>
        <v>14.496</v>
      </c>
      <c r="E68" s="1091">
        <f>SUMIF('ПО КОРИСНИЦИМА'!$F$4:$F$544,'По основ. нам.'!A68,'ПО КОРИСНИЦИМА'!$I$4:$I$544)</f>
        <v>942240</v>
      </c>
      <c r="F68" s="1091">
        <f t="shared" si="13"/>
        <v>5557760</v>
      </c>
    </row>
    <row r="69" spans="1:6" hidden="1">
      <c r="A69" s="372" t="s">
        <v>3827</v>
      </c>
      <c r="B69" s="373" t="s">
        <v>3828</v>
      </c>
      <c r="C69" s="374">
        <f>SUM(C70:C73)</f>
        <v>0</v>
      </c>
      <c r="D69" s="1115">
        <f t="shared" ref="D69:D76" si="14">IFERROR(C69/$C$88,"-")</f>
        <v>0</v>
      </c>
      <c r="E69" s="1090">
        <f>SUM(E70:E72)</f>
        <v>0</v>
      </c>
      <c r="F69" s="1090">
        <f t="shared" si="3"/>
        <v>0</v>
      </c>
    </row>
    <row r="70" spans="1:6" hidden="1">
      <c r="A70" s="381">
        <v>521</v>
      </c>
      <c r="B70" s="390" t="s">
        <v>3829</v>
      </c>
      <c r="C70" s="377">
        <f>SUMIF('ПО КОРИСНИЦИМА'!$F$4:$F$544,'По основ. нам.'!A70,'ПО КОРИСНИЦИМА'!$H$4:$H$544)</f>
        <v>0</v>
      </c>
      <c r="D70" s="1117">
        <f t="shared" si="14"/>
        <v>0</v>
      </c>
      <c r="E70" s="1091">
        <f>SUMIF('ПО КОРИСНИЦИМА'!$F$4:$F$544,'По основ. нам.'!A70,'ПО КОРИСНИЦИМА'!$I$4:$I$544)</f>
        <v>0</v>
      </c>
      <c r="F70" s="1091">
        <f t="shared" si="3"/>
        <v>0</v>
      </c>
    </row>
    <row r="71" spans="1:6" hidden="1">
      <c r="A71" s="381">
        <v>522</v>
      </c>
      <c r="B71" s="390" t="s">
        <v>3830</v>
      </c>
      <c r="C71" s="377">
        <f>SUMIF('ПО КОРИСНИЦИМА'!$F$4:$F$544,'По основ. нам.'!A71,'ПО КОРИСНИЦИМА'!$H$4:$H$544)</f>
        <v>0</v>
      </c>
      <c r="D71" s="1117">
        <f t="shared" si="14"/>
        <v>0</v>
      </c>
      <c r="E71" s="1091">
        <f>SUMIF('ПО КОРИСНИЦИМА'!$F$4:$F$544,'По основ. нам.'!A71,'ПО КОРИСНИЦИМА'!$I$4:$I$544)</f>
        <v>0</v>
      </c>
      <c r="F71" s="1091">
        <f t="shared" si="3"/>
        <v>0</v>
      </c>
    </row>
    <row r="72" spans="1:6" hidden="1">
      <c r="A72" s="381">
        <v>523</v>
      </c>
      <c r="B72" s="391" t="s">
        <v>3831</v>
      </c>
      <c r="C72" s="377">
        <f>SUMIF('ПО КОРИСНИЦИМА'!$F$4:$F$544,'По основ. нам.'!A72,'ПО КОРИСНИЦИМА'!$H$4:$H$544)</f>
        <v>0</v>
      </c>
      <c r="D72" s="1117">
        <f t="shared" si="14"/>
        <v>0</v>
      </c>
      <c r="E72" s="1091">
        <f>SUMIF('ПО КОРИСНИЦИМА'!$F$4:$F$544,'По основ. нам.'!A72,'ПО КОРИСНИЦИМА'!$I$4:$I$544)</f>
        <v>0</v>
      </c>
      <c r="F72" s="1091">
        <f t="shared" si="3"/>
        <v>0</v>
      </c>
    </row>
    <row r="73" spans="1:6" hidden="1">
      <c r="A73" s="381">
        <v>531</v>
      </c>
      <c r="B73" s="391" t="s">
        <v>4027</v>
      </c>
      <c r="C73" s="377">
        <f>SUMIF('ПО КОРИСНИЦИМА'!$F$4:$F$544,'По основ. нам.'!A73,'ПО КОРИСНИЦИМА'!$H$4:$H$544)</f>
        <v>0</v>
      </c>
      <c r="D73" s="1117">
        <f t="shared" si="14"/>
        <v>0</v>
      </c>
      <c r="E73" s="1091">
        <f>SUMIF('ПО КОРИСНИЦИМА'!$F$4:$F$544,'По основ. нам.'!A73,'ПО КОРИСНИЦИМА'!$I$4:$I$544)</f>
        <v>0</v>
      </c>
      <c r="F73" s="1091"/>
    </row>
    <row r="74" spans="1:6" ht="15.75" customHeight="1">
      <c r="A74" s="372" t="s">
        <v>3832</v>
      </c>
      <c r="B74" s="373" t="s">
        <v>3833</v>
      </c>
      <c r="C74" s="392">
        <f>SUM(C75:C77)</f>
        <v>7000000</v>
      </c>
      <c r="D74" s="1118">
        <f>E74/C74*100</f>
        <v>94.246037571428559</v>
      </c>
      <c r="E74" s="1124">
        <f>SUM(E75:E77)</f>
        <v>6597222.6299999999</v>
      </c>
      <c r="F74" s="1090">
        <f>C74-E74</f>
        <v>402777.37000000011</v>
      </c>
    </row>
    <row r="75" spans="1:6">
      <c r="A75" s="381">
        <v>541</v>
      </c>
      <c r="B75" s="390" t="s">
        <v>3834</v>
      </c>
      <c r="C75" s="377">
        <f>SUMIF('ПО КОРИСНИЦИМА'!$F$4:$F$544,'По основ. нам.'!A75,'ПО КОРИСНИЦИМА'!$H$4:$H$544)</f>
        <v>7000000</v>
      </c>
      <c r="D75" s="1117">
        <f>E75/C75*100</f>
        <v>94.246037571428559</v>
      </c>
      <c r="E75" s="1091">
        <f>SUMIF('ПО КОРИСНИЦИМА'!$F$4:$F$544,'По основ. нам.'!A75,'ПО КОРИСНИЦИМА'!$I$4:$I$544)</f>
        <v>6597222.6299999999</v>
      </c>
      <c r="F75" s="1091">
        <f>C75-E75</f>
        <v>402777.37000000011</v>
      </c>
    </row>
    <row r="76" spans="1:6" hidden="1">
      <c r="A76" s="381">
        <v>542</v>
      </c>
      <c r="B76" s="390" t="s">
        <v>3835</v>
      </c>
      <c r="C76" s="377">
        <f>SUMIF('ПО КОРИСНИЦИМА'!$F$4:$F$544,'По основ. нам.'!A76,'ПО КОРИСНИЦИМА'!$H$4:$H$544)</f>
        <v>0</v>
      </c>
      <c r="D76" s="1117">
        <f t="shared" si="14"/>
        <v>0</v>
      </c>
      <c r="E76" s="1091">
        <f>SUMIF('ПО КОРИСНИЦИМА'!$F$4:$F$544,'По основ. нам.'!A76,'ПО КОРИСНИЦИМА'!$I$4:$I$544)</f>
        <v>0</v>
      </c>
      <c r="F76" s="1092">
        <f t="shared" si="3"/>
        <v>0</v>
      </c>
    </row>
    <row r="77" spans="1:6" hidden="1">
      <c r="A77" s="381">
        <v>543</v>
      </c>
      <c r="B77" s="391" t="s">
        <v>3836</v>
      </c>
      <c r="C77" s="377">
        <f>SUMIF('ПО КОРИСНИЦИМА'!$F$4:$F$544,'По основ. нам.'!A77,'ПО КОРИСНИЦИМА'!$H$4:$H$544)</f>
        <v>0</v>
      </c>
      <c r="D77" s="1117">
        <f t="shared" ref="D77:D83" si="15">IFERROR(C77/$C$88,"-")</f>
        <v>0</v>
      </c>
      <c r="E77" s="1091">
        <f>SUMIF('ПО КОРИСНИЦИМА'!$F$4:$F$544,'По основ. нам.'!A77,'ПО КОРИСНИЦИМА'!$I$4:$I$544)</f>
        <v>0</v>
      </c>
      <c r="F77" s="1092">
        <f t="shared" si="3"/>
        <v>0</v>
      </c>
    </row>
    <row r="78" spans="1:6" ht="21" hidden="1">
      <c r="A78" s="394">
        <v>550</v>
      </c>
      <c r="B78" s="395" t="s">
        <v>3837</v>
      </c>
      <c r="C78" s="393">
        <f>SUM(C79)</f>
        <v>0</v>
      </c>
      <c r="D78" s="1119">
        <f t="shared" si="15"/>
        <v>0</v>
      </c>
      <c r="E78" s="1124">
        <f>SUM(E79)</f>
        <v>0</v>
      </c>
      <c r="F78" s="1090">
        <f>C78+E78</f>
        <v>0</v>
      </c>
    </row>
    <row r="79" spans="1:6" ht="23.25" hidden="1">
      <c r="A79" s="381">
        <v>551</v>
      </c>
      <c r="B79" s="396" t="s">
        <v>3838</v>
      </c>
      <c r="C79" s="377">
        <f>SUMIF('ПО КОРИСНИЦИМА'!$F$4:$F$544,'По основ. нам.'!A79,'ПО КОРИСНИЦИМА'!$H$4:$H$544)</f>
        <v>0</v>
      </c>
      <c r="D79" s="1117">
        <f t="shared" si="15"/>
        <v>0</v>
      </c>
      <c r="E79" s="1091">
        <f>SUMIF('ПО КОРИСНИЦИМА'!$F$4:$F$544,'По основ. нам.'!A79,'ПО КОРИСНИЦИМА'!$I$4:$I$544)</f>
        <v>0</v>
      </c>
      <c r="F79" s="1092">
        <f t="shared" ref="F79:F81" si="16">C79+E79</f>
        <v>0</v>
      </c>
    </row>
    <row r="80" spans="1:6" hidden="1">
      <c r="A80" s="372" t="s">
        <v>3839</v>
      </c>
      <c r="B80" s="373" t="s">
        <v>3840</v>
      </c>
      <c r="C80" s="393">
        <f>SUM(C81:C83)</f>
        <v>0</v>
      </c>
      <c r="D80" s="1118">
        <f t="shared" si="15"/>
        <v>0</v>
      </c>
      <c r="E80" s="1124">
        <f>SUM(E81:E83)</f>
        <v>0</v>
      </c>
      <c r="F80" s="1090">
        <f t="shared" si="16"/>
        <v>0</v>
      </c>
    </row>
    <row r="81" spans="1:6" hidden="1">
      <c r="A81" s="375" t="s">
        <v>3841</v>
      </c>
      <c r="B81" s="376" t="s">
        <v>3842</v>
      </c>
      <c r="C81" s="377">
        <f>SUMIF('ПО КОРИСНИЦИМА'!$F$4:$F$544,'По основ. нам.'!A81,'ПО КОРИСНИЦИМА'!$H$4:$H$544)</f>
        <v>0</v>
      </c>
      <c r="D81" s="1117">
        <f t="shared" si="15"/>
        <v>0</v>
      </c>
      <c r="E81" s="1091">
        <f>SUMIF('ПО КОРИСНИЦИМА'!$F$4:$F$544,'По основ. нам.'!A81,'ПО КОРИСНИЦИМА'!$I$4:$I$544)</f>
        <v>0</v>
      </c>
      <c r="F81" s="1091">
        <f t="shared" si="16"/>
        <v>0</v>
      </c>
    </row>
    <row r="82" spans="1:6" hidden="1">
      <c r="A82" s="397" t="s">
        <v>3843</v>
      </c>
      <c r="B82" s="398" t="s">
        <v>3844</v>
      </c>
      <c r="C82" s="377">
        <f>SUMIF('ПО КОРИСНИЦИМА'!$F$4:$F$544,'По основ. нам.'!A82,'ПО КОРИСНИЦИМА'!$H$4:$H$544)</f>
        <v>0</v>
      </c>
      <c r="D82" s="1120">
        <f t="shared" si="15"/>
        <v>0</v>
      </c>
      <c r="E82" s="1091">
        <f>SUMIF('ПО КОРИСНИЦИМА'!$F$4:$F$544,'По основ. нам.'!A82,'ПО КОРИСНИЦИМА'!$I$4:$I$544)</f>
        <v>0</v>
      </c>
      <c r="F82" s="1092"/>
    </row>
    <row r="83" spans="1:6" hidden="1">
      <c r="A83" s="397" t="s">
        <v>3845</v>
      </c>
      <c r="B83" s="398" t="s">
        <v>89</v>
      </c>
      <c r="C83" s="377">
        <f>SUMIF('ПО КОРИСНИЦИМА'!$F$4:$F$544,'По основ. нам.'!A83,'ПО КОРИСНИЦИМА'!$H$4:$H$544)</f>
        <v>0</v>
      </c>
      <c r="D83" s="1120">
        <f t="shared" si="15"/>
        <v>0</v>
      </c>
      <c r="E83" s="1091">
        <f>SUMIF('ПО КОРИСНИЦИМА'!$F$4:$F$544,'По основ. нам.'!A83,'ПО КОРИСНИЦИМА'!$I$4:$I$544)</f>
        <v>0</v>
      </c>
      <c r="F83" s="1092"/>
    </row>
    <row r="84" spans="1:6" hidden="1">
      <c r="A84" s="372"/>
      <c r="B84" s="373"/>
      <c r="C84" s="1173"/>
      <c r="D84" s="1119"/>
      <c r="E84" s="1174">
        <f>SUMIF('ПО КОРИСНИЦИМА'!$F$4:$F$544,'По основ. нам.'!A84,'ПО КОРИСНИЦИМА'!$I$4:$I$544)</f>
        <v>0</v>
      </c>
      <c r="F84" s="1090"/>
    </row>
    <row r="85" spans="1:6" hidden="1">
      <c r="A85" s="397"/>
      <c r="B85" s="398"/>
      <c r="C85" s="377"/>
      <c r="D85" s="1120"/>
      <c r="E85" s="1091">
        <f>SUMIF('ПО КОРИСНИЦИМА'!$F$4:$F$544,'По основ. нам.'!A85,'ПО КОРИСНИЦИМА'!$I$4:$I$544)</f>
        <v>0</v>
      </c>
      <c r="F85" s="1092"/>
    </row>
    <row r="86" spans="1:6" ht="22.5" customHeight="1">
      <c r="A86" s="789" t="s">
        <v>3929</v>
      </c>
      <c r="B86" s="790" t="s">
        <v>4673</v>
      </c>
      <c r="C86" s="1175">
        <f>C87</f>
        <v>19900000</v>
      </c>
      <c r="D86" s="1121">
        <f>D87</f>
        <v>0</v>
      </c>
      <c r="E86" s="1176">
        <f>E87</f>
        <v>3995119.49</v>
      </c>
      <c r="F86" s="1094">
        <f>C86-E86</f>
        <v>15904880.51</v>
      </c>
    </row>
    <row r="87" spans="1:6">
      <c r="A87" s="397" t="s">
        <v>3847</v>
      </c>
      <c r="B87" s="398" t="s">
        <v>4674</v>
      </c>
      <c r="C87" s="377">
        <f>SUMIF('ПО КОРИСНИЦИМА'!$F$4:$F$544,'По основ. нам.'!A87,'ПО КОРИСНИЦИМА'!$H$4:$H$544)</f>
        <v>19900000</v>
      </c>
      <c r="D87" s="1120">
        <v>0</v>
      </c>
      <c r="E87" s="1091">
        <f>SUMIF('ПО КОРИСНИЦИМА'!$F$4:$F$544,'По основ. нам.'!A87,'ПО КОРИСНИЦИМА'!$I$4:$I$544)</f>
        <v>3995119.49</v>
      </c>
      <c r="F87" s="1092">
        <f>C87-E87</f>
        <v>15904880.51</v>
      </c>
    </row>
    <row r="88" spans="1:6">
      <c r="A88" s="399"/>
      <c r="B88" s="400" t="s">
        <v>3848</v>
      </c>
      <c r="C88" s="401">
        <f>SUM(C6,C15,C22,C28,C33,C39,C46,C48,C55,C63,C69,C74,C78,C80,C84,C86)</f>
        <v>834090000</v>
      </c>
      <c r="D88" s="1122">
        <f>IFERROR(C88/$C$88,"-")</f>
        <v>1</v>
      </c>
      <c r="E88" s="1125">
        <f>SUM(E6,E15,E22,E28,E33,E39,E48,E46,E63,E69,E74,E78,E80,E84,E86)</f>
        <v>406556131.16000003</v>
      </c>
      <c r="F88" s="1095">
        <f>F86+F62+F5</f>
        <v>427533868.83999997</v>
      </c>
    </row>
    <row r="89" spans="1:6">
      <c r="A89" s="118"/>
      <c r="B89" s="118"/>
      <c r="C89" s="119" t="e">
        <f>C88-'ПО КОРИСНИЦИМА'!#REF!</f>
        <v>#REF!</v>
      </c>
      <c r="D89" s="1123"/>
      <c r="E89" s="1096" t="e">
        <f>E88-'ПО КОРИСНИЦИМА'!#REF!</f>
        <v>#REF!</v>
      </c>
      <c r="F89" s="1096" t="e">
        <f>Ukupno_izdaci-'ПО КОРИСНИЦИМА'!#REF!</f>
        <v>#REF!</v>
      </c>
    </row>
  </sheetData>
  <mergeCells count="1">
    <mergeCell ref="A1:E1"/>
  </mergeCells>
  <conditionalFormatting sqref="C89 E89:F89">
    <cfRule type="cellIs" dxfId="3" priority="5" stopIfTrue="1" operator="notEqual">
      <formula>0</formula>
    </cfRule>
  </conditionalFormatting>
  <conditionalFormatting sqref="C7:C14 C16:C21 C23:C27 C29:C32 C34:C38 C40:C45 C47 C49:C54 C64:C68 C70:C73 C75:C77 C79 E7:E14 E16:E21 E23:E27 E29:E32 E34:E38 E40:E45 E47 E49:E54 E64:E68 E70:E73 E75:E77 E79 C56:C62 E56:E62 C81:C87 E81:E87">
    <cfRule type="expression" priority="4" stopIfTrue="1">
      <formula>NOT(ISERROR(SEARCH("411",C7)))</formula>
    </cfRule>
  </conditionalFormatting>
  <conditionalFormatting sqref="C89:F89">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9">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9">
      <formula1>0</formula1>
    </dataValidation>
  </dataValidations>
  <pageMargins left="0.36" right="0.24" top="0.75" bottom="0.75" header="0.3" footer="0.3"/>
  <pageSetup orientation="portrait" r:id="rId1"/>
  <cellWatches>
    <cellWatch r="C89"/>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workbookViewId="0">
      <selection activeCell="A2" sqref="A2:G341"/>
    </sheetView>
  </sheetViews>
  <sheetFormatPr defaultRowHeight="15"/>
  <cols>
    <col min="1" max="1" width="8" style="85" customWidth="1"/>
    <col min="2" max="2" width="11.7109375" style="85" customWidth="1"/>
    <col min="3" max="3" width="45.85546875" style="194" customWidth="1"/>
    <col min="4" max="4" width="15.140625" style="253" customWidth="1"/>
    <col min="5" max="5" width="7.85546875" style="683" customWidth="1"/>
    <col min="6" max="6" width="16.42578125" style="683" customWidth="1"/>
    <col min="7" max="7" width="15.5703125" style="253" customWidth="1"/>
    <col min="8" max="8" width="15.5703125" style="85" customWidth="1"/>
    <col min="9" max="9" width="9.140625" style="85" customWidth="1"/>
    <col min="10" max="16384" width="9.140625" style="85"/>
  </cols>
  <sheetData>
    <row r="1" spans="1:8" ht="15" customHeight="1">
      <c r="A1" s="1227" t="s">
        <v>3965</v>
      </c>
      <c r="B1" s="1227"/>
      <c r="C1" s="1227"/>
      <c r="D1" s="1227"/>
      <c r="E1" s="1227"/>
      <c r="F1" s="1227"/>
      <c r="G1" s="1227"/>
      <c r="H1" s="1227"/>
    </row>
    <row r="2" spans="1:8" ht="15" customHeight="1">
      <c r="A2" s="1228" t="s">
        <v>3604</v>
      </c>
      <c r="B2" s="1229"/>
      <c r="C2" s="1226" t="s">
        <v>4008</v>
      </c>
      <c r="D2" s="1230" t="s">
        <v>4705</v>
      </c>
      <c r="E2" s="1224" t="s">
        <v>4703</v>
      </c>
      <c r="F2" s="1224" t="s">
        <v>4724</v>
      </c>
      <c r="G2" s="1225" t="s">
        <v>4701</v>
      </c>
      <c r="H2" s="1226" t="s">
        <v>4019</v>
      </c>
    </row>
    <row r="3" spans="1:8" ht="36" customHeight="1">
      <c r="A3" s="86" t="s">
        <v>3966</v>
      </c>
      <c r="B3" s="86" t="s">
        <v>4007</v>
      </c>
      <c r="C3" s="1226"/>
      <c r="D3" s="1230"/>
      <c r="E3" s="1224"/>
      <c r="F3" s="1224"/>
      <c r="G3" s="1225"/>
      <c r="H3" s="1226"/>
    </row>
    <row r="4" spans="1:8">
      <c r="A4" s="87" t="s">
        <v>3754</v>
      </c>
      <c r="B4" s="87" t="s">
        <v>3967</v>
      </c>
      <c r="C4" s="87" t="s">
        <v>4018</v>
      </c>
      <c r="D4" s="269">
        <v>4</v>
      </c>
      <c r="E4" s="1111">
        <v>5</v>
      </c>
      <c r="F4" s="1111">
        <v>6</v>
      </c>
      <c r="G4" s="269">
        <v>7</v>
      </c>
      <c r="H4" s="180">
        <v>8</v>
      </c>
    </row>
    <row r="5" spans="1:8">
      <c r="A5" s="204" t="s">
        <v>3559</v>
      </c>
      <c r="B5" s="205"/>
      <c r="C5" s="233" t="s">
        <v>4480</v>
      </c>
      <c r="D5" s="255">
        <f>SUM(D6:D33)</f>
        <v>7000000</v>
      </c>
      <c r="E5" s="1110">
        <f>F5/D5*100</f>
        <v>17.007142857142856</v>
      </c>
      <c r="F5" s="445">
        <f>SUM(F6:F33)</f>
        <v>1190500</v>
      </c>
      <c r="G5" s="255">
        <f>D5-F5</f>
        <v>5809500</v>
      </c>
      <c r="H5" s="257"/>
    </row>
    <row r="6" spans="1:8">
      <c r="A6" s="202"/>
      <c r="B6" s="202" t="s">
        <v>4049</v>
      </c>
      <c r="C6" s="234" t="s">
        <v>4343</v>
      </c>
      <c r="D6" s="258">
        <f>SUMIF('ПО КОРИСНИЦИМА'!$C$3:$C$544,B6,'ПО КОРИСНИЦИМА'!$H$3:$H$544)</f>
        <v>7000000</v>
      </c>
      <c r="E6" s="1109">
        <f t="shared" ref="E6:E69" si="0">F6/D6*100</f>
        <v>17.007142857142856</v>
      </c>
      <c r="F6" s="353">
        <f>SUMIF('ПО КОРИСНИЦИМА'!$C$3:$C$544,B6,'ПО КОРИСНИЦИМА'!$I$3:$I$544)</f>
        <v>1190500</v>
      </c>
      <c r="G6" s="258">
        <f>D6-F6</f>
        <v>5809500</v>
      </c>
      <c r="H6" s="259"/>
    </row>
    <row r="7" spans="1:8" hidden="1">
      <c r="A7" s="88"/>
      <c r="B7" s="88" t="s">
        <v>4050</v>
      </c>
      <c r="C7" s="235" t="s">
        <v>4407</v>
      </c>
      <c r="D7" s="258">
        <f>SUMIF('ПО КОРИСНИЦИМА'!$C$3:$C$544,B7,'ПО КОРИСНИЦИМА'!$H$3:$H$544)</f>
        <v>0</v>
      </c>
      <c r="E7" s="1105" t="e">
        <f t="shared" si="0"/>
        <v>#DIV/0!</v>
      </c>
      <c r="F7" s="353">
        <f>SUMIF('ПО КОРИСНИЦИМА'!$C$3:$C$544,B7,'ПО КОРИСНИЦИМА'!$I$3:$I$544)</f>
        <v>0</v>
      </c>
      <c r="G7" s="260">
        <f t="shared" ref="G7:G122" si="1">D7+F7</f>
        <v>0</v>
      </c>
      <c r="H7" s="262"/>
    </row>
    <row r="8" spans="1:8" hidden="1">
      <c r="A8" s="88"/>
      <c r="B8" s="202" t="s">
        <v>4389</v>
      </c>
      <c r="C8" s="235" t="s">
        <v>4390</v>
      </c>
      <c r="D8" s="258">
        <f>SUMIF('ПО КОРИСНИЦИМА'!$C$3:$C$544,B8,'ПО КОРИСНИЦИМА'!$H$3:$H$544)</f>
        <v>0</v>
      </c>
      <c r="E8" s="1105" t="e">
        <f t="shared" si="0"/>
        <v>#DIV/0!</v>
      </c>
      <c r="F8" s="353">
        <f>SUMIF('ПО КОРИСНИЦИМА'!$C$3:$C$544,B8,'ПО КОРИСНИЦИМА'!$I$3:$I$544)</f>
        <v>0</v>
      </c>
      <c r="G8" s="258">
        <f>D8+F8</f>
        <v>0</v>
      </c>
      <c r="H8" s="261"/>
    </row>
    <row r="9" spans="1:8" hidden="1">
      <c r="A9" s="88"/>
      <c r="B9" s="88" t="s">
        <v>4345</v>
      </c>
      <c r="C9" s="235" t="s">
        <v>4478</v>
      </c>
      <c r="D9" s="258">
        <f>SUMIF('ПО КОРИСНИЦИМА'!$C$3:$C$544,B9,'ПО КОРИСНИЦИМА'!$H$3:$H$544)</f>
        <v>0</v>
      </c>
      <c r="E9" s="1105" t="e">
        <f t="shared" si="0"/>
        <v>#DIV/0!</v>
      </c>
      <c r="F9" s="353">
        <f>SUMIF('ПО КОРИСНИЦИМА'!$C$3:$C$544,B9,'ПО КОРИСНИЦИМА'!$I$3:$I$544)</f>
        <v>0</v>
      </c>
      <c r="G9" s="260">
        <f t="shared" si="1"/>
        <v>0</v>
      </c>
      <c r="H9" s="261"/>
    </row>
    <row r="10" spans="1:8" hidden="1">
      <c r="A10" s="88"/>
      <c r="B10" s="88" t="s">
        <v>4481</v>
      </c>
      <c r="C10" s="522" t="s">
        <v>4482</v>
      </c>
      <c r="D10" s="258">
        <f>SUMIF('ПО КОРИСНИЦИМА'!$C$3:$C$544,B10,'ПО КОРИСНИЦИМА'!$H$3:$H$544)</f>
        <v>0</v>
      </c>
      <c r="E10" s="1105" t="e">
        <f t="shared" si="0"/>
        <v>#DIV/0!</v>
      </c>
      <c r="F10" s="353">
        <f>SUMIF('ПО КОРИСНИЦИМА'!$C$3:$C$544,B10,'ПО КОРИСНИЦИМА'!$I$3:$I$544)</f>
        <v>0</v>
      </c>
      <c r="G10" s="260">
        <f t="shared" si="1"/>
        <v>0</v>
      </c>
      <c r="H10" s="262"/>
    </row>
    <row r="11" spans="1:8" hidden="1">
      <c r="A11" s="88"/>
      <c r="B11" s="88" t="s">
        <v>4051</v>
      </c>
      <c r="C11" s="235" t="str">
        <f>IFERROR(VLOOKUP(B11,'ПО КОРИСНИЦИМА'!$C$3:$J$505,5,FALSE),"")</f>
        <v/>
      </c>
      <c r="D11" s="258">
        <f>SUMIF('ПО КОРИСНИЦИМА'!$C$3:$C$544,B11,'ПО КОРИСНИЦИМА'!$H$3:$H$544)</f>
        <v>0</v>
      </c>
      <c r="E11" s="1105" t="e">
        <f t="shared" si="0"/>
        <v>#DIV/0!</v>
      </c>
      <c r="F11" s="353">
        <f>SUMIF('ПО КОРИСНИЦИМА'!$C$3:$C$544,B11,'ПО КОРИСНИЦИМА'!$I$3:$I$544)</f>
        <v>0</v>
      </c>
      <c r="G11" s="260">
        <f t="shared" si="1"/>
        <v>0</v>
      </c>
      <c r="H11" s="261"/>
    </row>
    <row r="12" spans="1:8" hidden="1">
      <c r="A12" s="88"/>
      <c r="B12" s="88" t="s">
        <v>4052</v>
      </c>
      <c r="C12" s="235" t="str">
        <f>IFERROR(VLOOKUP(B12,'ПО КОРИСНИЦИМА'!$C$3:$J$505,5,FALSE),"")</f>
        <v/>
      </c>
      <c r="D12" s="258">
        <f>SUMIF('ПО КОРИСНИЦИМА'!$C$3:$C$544,B12,'ПО КОРИСНИЦИМА'!$H$3:$H$544)</f>
        <v>0</v>
      </c>
      <c r="E12" s="1105" t="e">
        <f t="shared" si="0"/>
        <v>#DIV/0!</v>
      </c>
      <c r="F12" s="353">
        <f>SUMIF('ПО КОРИСНИЦИМА'!$C$3:$C$544,B12,'ПО КОРИСНИЦИМА'!$I$3:$I$544)</f>
        <v>0</v>
      </c>
      <c r="G12" s="260">
        <f t="shared" si="1"/>
        <v>0</v>
      </c>
      <c r="H12" s="261"/>
    </row>
    <row r="13" spans="1:8" hidden="1">
      <c r="A13" s="88"/>
      <c r="B13" s="88" t="s">
        <v>4053</v>
      </c>
      <c r="C13" s="235" t="str">
        <f>IFERROR(VLOOKUP(B13,'ПО КОРИСНИЦИМА'!$C$3:$J$505,5,FALSE),"")</f>
        <v/>
      </c>
      <c r="D13" s="251">
        <f>SUMIF('ПО КОРИСНИЦИМА'!$G$3:$G$505,"Свега за пројекат 1101-П4:",'ПО КОРИСНИЦИМА'!$H$3:$H$505)</f>
        <v>0</v>
      </c>
      <c r="E13" s="1105" t="e">
        <f t="shared" si="0"/>
        <v>#DIV/0!</v>
      </c>
      <c r="F13" s="1085">
        <f>SUMIF('ПО КОРИСНИЦИМА'!$G$3:$G$505,"Свега за пројекат 1101-П4:",'ПО КОРИСНИЦИМА'!$I$3:$I$505)</f>
        <v>0</v>
      </c>
      <c r="G13" s="260">
        <f t="shared" si="1"/>
        <v>0</v>
      </c>
      <c r="H13" s="261"/>
    </row>
    <row r="14" spans="1:8" hidden="1">
      <c r="A14" s="88"/>
      <c r="B14" s="88" t="s">
        <v>4054</v>
      </c>
      <c r="C14" s="235" t="str">
        <f>IFERROR(VLOOKUP(B14,'ПО КОРИСНИЦИМА'!$C$3:$J$505,5,FALSE),"")</f>
        <v/>
      </c>
      <c r="D14" s="251">
        <f>SUMIF('ПО КОРИСНИЦИМА'!$G$3:$G$505,"Свега за пројекат 1101-П5:",'ПО КОРИСНИЦИМА'!$H$3:$H$505)</f>
        <v>0</v>
      </c>
      <c r="E14" s="1105" t="e">
        <f t="shared" si="0"/>
        <v>#DIV/0!</v>
      </c>
      <c r="F14" s="1085">
        <f>SUMIF('ПО КОРИСНИЦИМА'!$G$3:$G$505,"Свега за пројекат 1101-П5:",'ПО КОРИСНИЦИМА'!$I$3:$I$505)</f>
        <v>0</v>
      </c>
      <c r="G14" s="260">
        <f t="shared" si="1"/>
        <v>0</v>
      </c>
      <c r="H14" s="261"/>
    </row>
    <row r="15" spans="1:8" hidden="1">
      <c r="A15" s="88"/>
      <c r="B15" s="88" t="s">
        <v>4055</v>
      </c>
      <c r="C15" s="235" t="str">
        <f>IFERROR(VLOOKUP(B15,'ПО КОРИСНИЦИМА'!$C$3:$J$505,5,FALSE),"")</f>
        <v/>
      </c>
      <c r="D15" s="251">
        <f>SUMIF('ПО КОРИСНИЦИМА'!$G$3:$G$505,"Свега за пројекат 1101-П6:",'ПО КОРИСНИЦИМА'!$H$3:$H$505)</f>
        <v>0</v>
      </c>
      <c r="E15" s="1105" t="e">
        <f t="shared" si="0"/>
        <v>#DIV/0!</v>
      </c>
      <c r="F15" s="1085">
        <f>SUMIF('ПО КОРИСНИЦИМА'!$G$3:$G$505,"Свега за пројекат 1101-П6:",'ПО КОРИСНИЦИМА'!$I$3:$I$505)</f>
        <v>0</v>
      </c>
      <c r="G15" s="260">
        <f t="shared" si="1"/>
        <v>0</v>
      </c>
      <c r="H15" s="261"/>
    </row>
    <row r="16" spans="1:8" hidden="1">
      <c r="A16" s="88"/>
      <c r="B16" s="88" t="s">
        <v>4056</v>
      </c>
      <c r="C16" s="235" t="str">
        <f>IFERROR(VLOOKUP(B16,'ПО КОРИСНИЦИМА'!$C$3:$J$505,5,FALSE),"")</f>
        <v/>
      </c>
      <c r="D16" s="251">
        <f>SUMIF('ПО КОРИСНИЦИМА'!$G$3:$G$505,"Свега за пројекат 1101-П7:",'ПО КОРИСНИЦИМА'!$H$3:$H$505)</f>
        <v>0</v>
      </c>
      <c r="E16" s="1105" t="e">
        <f t="shared" si="0"/>
        <v>#DIV/0!</v>
      </c>
      <c r="F16" s="1085">
        <f>SUMIF('ПО КОРИСНИЦИМА'!$G$3:$G$505,"Свега за пројекат 1101-П7:",'ПО КОРИСНИЦИМА'!$I$3:$I$505)</f>
        <v>0</v>
      </c>
      <c r="G16" s="260">
        <f t="shared" si="1"/>
        <v>0</v>
      </c>
      <c r="H16" s="261"/>
    </row>
    <row r="17" spans="1:8" hidden="1">
      <c r="A17" s="88"/>
      <c r="B17" s="88" t="s">
        <v>4057</v>
      </c>
      <c r="C17" s="235" t="str">
        <f>IFERROR(VLOOKUP(B17,'ПО КОРИСНИЦИМА'!$C$3:$J$505,5,FALSE),"")</f>
        <v/>
      </c>
      <c r="D17" s="251">
        <f>SUMIF('ПО КОРИСНИЦИМА'!$G$3:$G$505,"Свега за пројекат 1101-П8:",'ПО КОРИСНИЦИМА'!$H$3:$H$505)</f>
        <v>0</v>
      </c>
      <c r="E17" s="1105" t="e">
        <f t="shared" si="0"/>
        <v>#DIV/0!</v>
      </c>
      <c r="F17" s="1085">
        <f>SUMIF('ПО КОРИСНИЦИМА'!$G$3:$G$505,"Свега за пројекат 1101-П8:",'ПО КОРИСНИЦИМА'!$I$3:$I$505)</f>
        <v>0</v>
      </c>
      <c r="G17" s="260">
        <f t="shared" si="1"/>
        <v>0</v>
      </c>
      <c r="H17" s="261"/>
    </row>
    <row r="18" spans="1:8" hidden="1">
      <c r="A18" s="88"/>
      <c r="B18" s="88" t="s">
        <v>4058</v>
      </c>
      <c r="C18" s="235" t="str">
        <f>IFERROR(VLOOKUP(B18,'ПО КОРИСНИЦИМА'!$C$3:$J$505,5,FALSE),"")</f>
        <v/>
      </c>
      <c r="D18" s="251">
        <f>SUMIF('ПО КОРИСНИЦИМА'!$G$3:$G$505,"Свега за пројекат 1101-П9:",'ПО КОРИСНИЦИМА'!$H$3:$H$505)</f>
        <v>0</v>
      </c>
      <c r="E18" s="1105" t="e">
        <f t="shared" si="0"/>
        <v>#DIV/0!</v>
      </c>
      <c r="F18" s="1085">
        <f>SUMIF('ПО КОРИСНИЦИМА'!$G$3:$G$505,"Свега за пројекат 1101-П9:",'ПО КОРИСНИЦИМА'!$I$3:$I$505)</f>
        <v>0</v>
      </c>
      <c r="G18" s="260">
        <f t="shared" si="1"/>
        <v>0</v>
      </c>
      <c r="H18" s="261"/>
    </row>
    <row r="19" spans="1:8" hidden="1">
      <c r="A19" s="88"/>
      <c r="B19" s="88" t="s">
        <v>4059</v>
      </c>
      <c r="C19" s="235" t="str">
        <f>IFERROR(VLOOKUP(B19,'ПО КОРИСНИЦИМА'!$C$3:$J$505,5,FALSE),"")</f>
        <v/>
      </c>
      <c r="D19" s="251">
        <f>SUMIF('ПО КОРИСНИЦИМА'!$G$3:$G$505,"Свега за пројекат 1101-П10:",'ПО КОРИСНИЦИМА'!$H$3:$H$505)</f>
        <v>0</v>
      </c>
      <c r="E19" s="1105" t="e">
        <f t="shared" si="0"/>
        <v>#DIV/0!</v>
      </c>
      <c r="F19" s="1085">
        <f>SUMIF('ПО КОРИСНИЦИМА'!$G$3:$G$505,"Свега за пројекат 1101-П10:",'ПО КОРИСНИЦИМА'!$I$3:$I$505)</f>
        <v>0</v>
      </c>
      <c r="G19" s="260">
        <f t="shared" si="1"/>
        <v>0</v>
      </c>
      <c r="H19" s="261"/>
    </row>
    <row r="20" spans="1:8" hidden="1">
      <c r="A20" s="88"/>
      <c r="B20" s="88" t="s">
        <v>4060</v>
      </c>
      <c r="C20" s="235" t="str">
        <f>IFERROR(VLOOKUP(B20,'ПО КОРИСНИЦИМА'!$C$3:$J$505,5,FALSE),"")</f>
        <v/>
      </c>
      <c r="D20" s="251">
        <f>SUMIF('ПО КОРИСНИЦИМА'!$G$3:$G$505,"Свега за пројекат 1101-П11:",'ПО КОРИСНИЦИМА'!$H$3:$H$505)</f>
        <v>0</v>
      </c>
      <c r="E20" s="1105" t="e">
        <f t="shared" si="0"/>
        <v>#DIV/0!</v>
      </c>
      <c r="F20" s="1085">
        <f>SUMIF('ПО КОРИСНИЦИМА'!$G$3:$G$505,"Свега за пројекат 1101-П11:",'ПО КОРИСНИЦИМА'!$I$3:$I$505)</f>
        <v>0</v>
      </c>
      <c r="G20" s="260">
        <f t="shared" si="1"/>
        <v>0</v>
      </c>
      <c r="H20" s="261"/>
    </row>
    <row r="21" spans="1:8" hidden="1">
      <c r="A21" s="88"/>
      <c r="B21" s="88" t="s">
        <v>4061</v>
      </c>
      <c r="C21" s="235" t="str">
        <f>IFERROR(VLOOKUP(B21,'ПО КОРИСНИЦИМА'!$C$3:$J$505,5,FALSE),"")</f>
        <v/>
      </c>
      <c r="D21" s="251">
        <f>SUMIF('ПО КОРИСНИЦИМА'!$G$3:$G$505,"Свега за пројекат 1101-П12:",'ПО КОРИСНИЦИМА'!$H$3:$H$505)</f>
        <v>0</v>
      </c>
      <c r="E21" s="1105" t="e">
        <f t="shared" si="0"/>
        <v>#DIV/0!</v>
      </c>
      <c r="F21" s="1085">
        <f>SUMIF('ПО КОРИСНИЦИМА'!$G$3:$G$505,"Свега за пројекат 1101-П12:",'ПО КОРИСНИЦИМА'!$I$3:$I$505)</f>
        <v>0</v>
      </c>
      <c r="G21" s="260">
        <f t="shared" si="1"/>
        <v>0</v>
      </c>
      <c r="H21" s="261"/>
    </row>
    <row r="22" spans="1:8" hidden="1">
      <c r="A22" s="88"/>
      <c r="B22" s="88" t="s">
        <v>4062</v>
      </c>
      <c r="C22" s="235" t="str">
        <f>IFERROR(VLOOKUP(B22,'ПО КОРИСНИЦИМА'!$C$3:$J$505,5,FALSE),"")</f>
        <v/>
      </c>
      <c r="D22" s="251">
        <f>SUMIF('ПО КОРИСНИЦИМА'!$G$3:$G$505,"Свега за пројекат 1101-П13:",'ПО КОРИСНИЦИМА'!$H$3:$H$505)</f>
        <v>0</v>
      </c>
      <c r="E22" s="1105" t="e">
        <f t="shared" si="0"/>
        <v>#DIV/0!</v>
      </c>
      <c r="F22" s="1085">
        <f>SUMIF('ПО КОРИСНИЦИМА'!$G$3:$G$505,"Свега за пројекат 1101-П13:",'ПО КОРИСНИЦИМА'!$I$3:$I$505)</f>
        <v>0</v>
      </c>
      <c r="G22" s="260">
        <f t="shared" si="1"/>
        <v>0</v>
      </c>
      <c r="H22" s="261"/>
    </row>
    <row r="23" spans="1:8" hidden="1">
      <c r="A23" s="88"/>
      <c r="B23" s="88" t="s">
        <v>4063</v>
      </c>
      <c r="C23" s="235" t="str">
        <f>IFERROR(VLOOKUP(B23,'ПО КОРИСНИЦИМА'!$C$3:$J$505,5,FALSE),"")</f>
        <v/>
      </c>
      <c r="D23" s="251">
        <f>SUMIF('ПО КОРИСНИЦИМА'!$G$3:$G$505,"Свега за пројекат 1101-П14:",'ПО КОРИСНИЦИМА'!$H$3:$H$505)</f>
        <v>0</v>
      </c>
      <c r="E23" s="1105" t="e">
        <f t="shared" si="0"/>
        <v>#DIV/0!</v>
      </c>
      <c r="F23" s="1085">
        <f>SUMIF('ПО КОРИСНИЦИМА'!$G$3:$G$505,"Свега за пројекат 1101-П14:",'ПО КОРИСНИЦИМА'!$I$3:$I$505)</f>
        <v>0</v>
      </c>
      <c r="G23" s="260">
        <f t="shared" si="1"/>
        <v>0</v>
      </c>
      <c r="H23" s="262"/>
    </row>
    <row r="24" spans="1:8" hidden="1">
      <c r="A24" s="88"/>
      <c r="B24" s="88" t="s">
        <v>4064</v>
      </c>
      <c r="C24" s="235" t="str">
        <f>IFERROR(VLOOKUP(B24,'ПО КОРИСНИЦИМА'!$C$3:$J$505,5,FALSE),"")</f>
        <v/>
      </c>
      <c r="D24" s="251">
        <f>SUMIF('ПО КОРИСНИЦИМА'!$G$3:$G$505,"Свега за пројекат 1101-П15:",'ПО КОРИСНИЦИМА'!$H$3:$H$505)</f>
        <v>0</v>
      </c>
      <c r="E24" s="1105" t="e">
        <f t="shared" si="0"/>
        <v>#DIV/0!</v>
      </c>
      <c r="F24" s="1085">
        <f>SUMIF('ПО КОРИСНИЦИМА'!$G$3:$G$505,"Свега за пројекат 1101-П15:",'ПО КОРИСНИЦИМА'!$I$3:$I$505)</f>
        <v>0</v>
      </c>
      <c r="G24" s="260">
        <f t="shared" si="1"/>
        <v>0</v>
      </c>
      <c r="H24" s="262"/>
    </row>
    <row r="25" spans="1:8" hidden="1">
      <c r="A25" s="201"/>
      <c r="B25" s="88" t="s">
        <v>4065</v>
      </c>
      <c r="C25" s="235" t="str">
        <f>IFERROR(VLOOKUP(B25,'ПО КОРИСНИЦИМА'!$C$3:$J$505,5,FALSE),"")</f>
        <v/>
      </c>
      <c r="D25" s="251">
        <f>SUMIF('ПО КОРИСНИЦИМА'!$G$3:$G$505,"Свега за пројекат 1101-П16:",'ПО КОРИСНИЦИМА'!$H$3:$H$505)</f>
        <v>0</v>
      </c>
      <c r="E25" s="1105" t="e">
        <f t="shared" si="0"/>
        <v>#DIV/0!</v>
      </c>
      <c r="F25" s="1085">
        <f>SUMIF('ПО КОРИСНИЦИМА'!$G$3:$G$505,"Свега за пројекат 1101-П16:",'ПО КОРИСНИЦИМА'!$I$3:$I$505)</f>
        <v>0</v>
      </c>
      <c r="G25" s="260">
        <f t="shared" si="1"/>
        <v>0</v>
      </c>
      <c r="H25" s="263"/>
    </row>
    <row r="26" spans="1:8" hidden="1">
      <c r="A26" s="230"/>
      <c r="B26" s="88" t="s">
        <v>4066</v>
      </c>
      <c r="C26" s="235" t="str">
        <f>IFERROR(VLOOKUP(B26,'ПО КОРИСНИЦИМА'!$C$3:$J$505,5,FALSE),"")</f>
        <v/>
      </c>
      <c r="D26" s="251">
        <f>SUMIF('ПО КОРИСНИЦИМА'!$G$3:$G$505,"Свега за пројекат 1101-П17:",'ПО КОРИСНИЦИМА'!$H$3:$H$505)</f>
        <v>0</v>
      </c>
      <c r="E26" s="1105" t="e">
        <f t="shared" si="0"/>
        <v>#DIV/0!</v>
      </c>
      <c r="F26" s="1085">
        <f>SUMIF('ПО КОРИСНИЦИМА'!$G$3:$G$505,"Свега за пројекат 1101-П17:",'ПО КОРИСНИЦИМА'!$I$3:$I$505)</f>
        <v>0</v>
      </c>
      <c r="G26" s="260">
        <f t="shared" si="1"/>
        <v>0</v>
      </c>
      <c r="H26" s="264"/>
    </row>
    <row r="27" spans="1:8" hidden="1">
      <c r="A27" s="230"/>
      <c r="B27" s="88" t="s">
        <v>4067</v>
      </c>
      <c r="C27" s="235" t="str">
        <f>IFERROR(VLOOKUP(B27,'ПО КОРИСНИЦИМА'!$C$3:$J$505,5,FALSE),"")</f>
        <v/>
      </c>
      <c r="D27" s="251">
        <f>SUMIF('ПО КОРИСНИЦИМА'!$G$3:$G$505,"Свега за пројекат 1101-П18:",'ПО КОРИСНИЦИМА'!$H$3:$H$505)</f>
        <v>0</v>
      </c>
      <c r="E27" s="1105" t="e">
        <f t="shared" si="0"/>
        <v>#DIV/0!</v>
      </c>
      <c r="F27" s="1085">
        <f>SUMIF('ПО КОРИСНИЦИМА'!$G$3:$G$505,"Свега за пројекат 1101-П18:",'ПО КОРИСНИЦИМА'!$I$3:$I$505)</f>
        <v>0</v>
      </c>
      <c r="G27" s="260">
        <f t="shared" si="1"/>
        <v>0</v>
      </c>
      <c r="H27" s="264"/>
    </row>
    <row r="28" spans="1:8" hidden="1">
      <c r="A28" s="230"/>
      <c r="B28" s="88" t="s">
        <v>4068</v>
      </c>
      <c r="C28" s="235" t="str">
        <f>IFERROR(VLOOKUP(B28,'ПО КОРИСНИЦИМА'!$C$3:$J$505,5,FALSE),"")</f>
        <v/>
      </c>
      <c r="D28" s="251">
        <f>SUMIF('ПО КОРИСНИЦИМА'!$G$3:$G$505,"Свега за пројекат 1101-П19:",'ПО КОРИСНИЦИМА'!$H$3:$H$505)</f>
        <v>0</v>
      </c>
      <c r="E28" s="1105" t="e">
        <f t="shared" si="0"/>
        <v>#DIV/0!</v>
      </c>
      <c r="F28" s="1085">
        <f>SUMIF('ПО КОРИСНИЦИМА'!$G$3:$G$505,"Свега за пројекат 1101-П19:",'ПО КОРИСНИЦИМА'!$I$3:$I$505)</f>
        <v>0</v>
      </c>
      <c r="G28" s="260">
        <f t="shared" si="1"/>
        <v>0</v>
      </c>
      <c r="H28" s="264"/>
    </row>
    <row r="29" spans="1:8" hidden="1">
      <c r="A29" s="230"/>
      <c r="B29" s="88" t="s">
        <v>4069</v>
      </c>
      <c r="C29" s="235" t="str">
        <f>IFERROR(VLOOKUP(B29,'ПО КОРИСНИЦИМА'!$C$3:$J$505,5,FALSE),"")</f>
        <v/>
      </c>
      <c r="D29" s="251">
        <f>SUMIF('ПО КОРИСНИЦИМА'!$G$3:$G$505,"Свега за пројекат 1101-П20:",'ПО КОРИСНИЦИМА'!$H$3:$H$505)</f>
        <v>0</v>
      </c>
      <c r="E29" s="1105" t="e">
        <f t="shared" si="0"/>
        <v>#DIV/0!</v>
      </c>
      <c r="F29" s="1085">
        <f>SUMIF('ПО КОРИСНИЦИМА'!$G$3:$G$505,"Свега за пројекат 1101-П20:",'ПО КОРИСНИЦИМА'!$I$3:$I$505)</f>
        <v>0</v>
      </c>
      <c r="G29" s="260">
        <f t="shared" si="1"/>
        <v>0</v>
      </c>
      <c r="H29" s="264"/>
    </row>
    <row r="30" spans="1:8" hidden="1">
      <c r="A30" s="230"/>
      <c r="B30" s="88" t="s">
        <v>4070</v>
      </c>
      <c r="C30" s="235" t="str">
        <f>IFERROR(VLOOKUP(B30,'ПО КОРИСНИЦИМА'!$C$3:$J$505,5,FALSE),"")</f>
        <v/>
      </c>
      <c r="D30" s="251">
        <f>SUMIF('ПО КОРИСНИЦИМА'!$G$3:$G$505,"Свега за пројекат 1101-П21:",'ПО КОРИСНИЦИМА'!$H$3:$H$505)</f>
        <v>0</v>
      </c>
      <c r="E30" s="1105" t="e">
        <f t="shared" si="0"/>
        <v>#DIV/0!</v>
      </c>
      <c r="F30" s="1085">
        <f>SUMIF('ПО КОРИСНИЦИМА'!$G$3:$G$505,"Свега за пројекат 1101-П21:",'ПО КОРИСНИЦИМА'!$I$3:$I$505)</f>
        <v>0</v>
      </c>
      <c r="G30" s="260">
        <f t="shared" si="1"/>
        <v>0</v>
      </c>
      <c r="H30" s="264"/>
    </row>
    <row r="31" spans="1:8" hidden="1">
      <c r="A31" s="230"/>
      <c r="B31" s="88" t="s">
        <v>4071</v>
      </c>
      <c r="C31" s="235" t="str">
        <f>IFERROR(VLOOKUP(B31,'ПО КОРИСНИЦИМА'!$C$3:$J$505,5,FALSE),"")</f>
        <v/>
      </c>
      <c r="D31" s="251">
        <f>SUMIF('ПО КОРИСНИЦИМА'!$G$3:$G$505,"Свега за пројекат 1101-П22:",'ПО КОРИСНИЦИМА'!$H$3:$H$505)</f>
        <v>0</v>
      </c>
      <c r="E31" s="1105" t="e">
        <f t="shared" si="0"/>
        <v>#DIV/0!</v>
      </c>
      <c r="F31" s="1085">
        <f>SUMIF('ПО КОРИСНИЦИМА'!$G$3:$G$505,"Свега за пројекат 1101-П22:",'ПО КОРИСНИЦИМА'!$I$3:$I$505)</f>
        <v>0</v>
      </c>
      <c r="G31" s="260">
        <f t="shared" si="1"/>
        <v>0</v>
      </c>
      <c r="H31" s="264"/>
    </row>
    <row r="32" spans="1:8" hidden="1">
      <c r="A32" s="230"/>
      <c r="B32" s="88" t="s">
        <v>4072</v>
      </c>
      <c r="C32" s="235" t="str">
        <f>IFERROR(VLOOKUP(B32,'ПО КОРИСНИЦИМА'!$C$3:$J$505,5,FALSE),"")</f>
        <v/>
      </c>
      <c r="D32" s="251">
        <f>SUMIF('ПО КОРИСНИЦИМА'!$G$3:$G$505,"Свега за пројекат 1101-П23:",'ПО КОРИСНИЦИМА'!$H$3:$H$505)</f>
        <v>0</v>
      </c>
      <c r="E32" s="1105" t="e">
        <f t="shared" si="0"/>
        <v>#DIV/0!</v>
      </c>
      <c r="F32" s="1085">
        <f>SUMIF('ПО КОРИСНИЦИМА'!$G$3:$G$505,"Свега за пројекат 1101-П23:",'ПО КОРИСНИЦИМА'!$I$3:$I$505)</f>
        <v>0</v>
      </c>
      <c r="G32" s="260">
        <f t="shared" si="1"/>
        <v>0</v>
      </c>
      <c r="H32" s="264"/>
    </row>
    <row r="33" spans="1:8" hidden="1">
      <c r="A33" s="230"/>
      <c r="B33" s="88" t="s">
        <v>4073</v>
      </c>
      <c r="C33" s="235" t="str">
        <f>IFERROR(VLOOKUP(B33,'ПО КОРИСНИЦИМА'!$C$3:$J$505,5,FALSE),"")</f>
        <v/>
      </c>
      <c r="D33" s="251">
        <f>SUMIF('ПО КОРИСНИЦИМА'!$G$3:$G$505,"Свега за пројекат 1101-П24:",'ПО КОРИСНИЦИМА'!$H$3:$H$505)</f>
        <v>0</v>
      </c>
      <c r="E33" s="1105" t="e">
        <f t="shared" si="0"/>
        <v>#DIV/0!</v>
      </c>
      <c r="F33" s="1085">
        <f>SUMIF('ПО КОРИСНИЦИМА'!$G$3:$G$505,"Свега за пројекат 1101-П24:",'ПО КОРИСНИЦИМА'!$I$3:$I$505)</f>
        <v>0</v>
      </c>
      <c r="G33" s="260">
        <f t="shared" si="1"/>
        <v>0</v>
      </c>
      <c r="H33" s="264"/>
    </row>
    <row r="34" spans="1:8">
      <c r="A34" s="204" t="s">
        <v>4334</v>
      </c>
      <c r="B34" s="205"/>
      <c r="C34" s="233" t="s">
        <v>4483</v>
      </c>
      <c r="D34" s="255">
        <f>SUM(D35:D44)</f>
        <v>105870000</v>
      </c>
      <c r="E34" s="1110">
        <f t="shared" si="0"/>
        <v>55.138043090582791</v>
      </c>
      <c r="F34" s="445">
        <f>SUM(F35:F44)</f>
        <v>58374646.219999999</v>
      </c>
      <c r="G34" s="255">
        <f>D34-F34</f>
        <v>47495353.780000001</v>
      </c>
      <c r="H34" s="257"/>
    </row>
    <row r="35" spans="1:8">
      <c r="A35" s="202"/>
      <c r="B35" s="202" t="s">
        <v>4346</v>
      </c>
      <c r="C35" s="236" t="s">
        <v>4393</v>
      </c>
      <c r="D35" s="258">
        <f>SUMIF('ПО КОРИСНИЦИМА'!$C$3:$C$544,B35,'ПО КОРИСНИЦИМА'!$H$3:$H$544)</f>
        <v>29850000</v>
      </c>
      <c r="E35" s="1109">
        <f t="shared" si="0"/>
        <v>44.088199631490788</v>
      </c>
      <c r="F35" s="353">
        <f>SUMIF('ПО КОРИСНИЦИМА'!$C$3:$C$544,B35,'ПО КОРИСНИЦИМА'!$I$3:$I$544)</f>
        <v>13160327.59</v>
      </c>
      <c r="G35" s="258">
        <f>D35-F35</f>
        <v>16689672.41</v>
      </c>
      <c r="H35" s="259"/>
    </row>
    <row r="36" spans="1:8">
      <c r="A36" s="88"/>
      <c r="B36" s="88" t="s">
        <v>4347</v>
      </c>
      <c r="C36" s="237" t="s">
        <v>4348</v>
      </c>
      <c r="D36" s="258">
        <f>SUMIF('ПО КОРИСНИЦИМА'!$C$3:$C$544,B36,'ПО КОРИСНИЦИМА'!$H$3:$H$544)</f>
        <v>15570000</v>
      </c>
      <c r="E36" s="1109">
        <f t="shared" si="0"/>
        <v>70.225459216441877</v>
      </c>
      <c r="F36" s="353">
        <f>SUMIF('ПО КОРИСНИЦИМА'!$C$3:$C$544,B36,'ПО КОРИСНИЦИМА'!$I$3:$I$544)</f>
        <v>10934104</v>
      </c>
      <c r="G36" s="258">
        <f t="shared" ref="G36:G43" si="2">D36-F36</f>
        <v>4635896</v>
      </c>
      <c r="H36" s="262"/>
    </row>
    <row r="37" spans="1:8">
      <c r="A37" s="88"/>
      <c r="B37" s="202" t="s">
        <v>4350</v>
      </c>
      <c r="C37" s="237" t="s">
        <v>4351</v>
      </c>
      <c r="D37" s="258">
        <f>SUMIF('ПО КОРИСНИЦИМА'!$C$3:$C$544,B37,'ПО КОРИСНИЦИМА'!$H$3:$H$544)</f>
        <v>30750000</v>
      </c>
      <c r="E37" s="1109">
        <f t="shared" si="0"/>
        <v>72.049408097560971</v>
      </c>
      <c r="F37" s="353">
        <f>SUMIF('ПО КОРИСНИЦИМА'!$C$3:$C$544,B37,'ПО КОРИСНИЦИМА'!$I$3:$I$544)</f>
        <v>22155192.989999998</v>
      </c>
      <c r="G37" s="258">
        <f t="shared" si="2"/>
        <v>8594807.0100000016</v>
      </c>
      <c r="H37" s="262"/>
    </row>
    <row r="38" spans="1:8" hidden="1">
      <c r="A38" s="88"/>
      <c r="B38" s="88" t="s">
        <v>4391</v>
      </c>
      <c r="C38" s="237" t="s">
        <v>4396</v>
      </c>
      <c r="D38" s="258">
        <f>SUMIF('ПО КОРИСНИЦИМА'!$C$3:$C$544,B38,'ПО КОРИСНИЦИМА'!$H$3:$H$544)</f>
        <v>0</v>
      </c>
      <c r="E38" s="1109" t="e">
        <f t="shared" si="0"/>
        <v>#DIV/0!</v>
      </c>
      <c r="F38" s="353">
        <f>SUMIF('ПО КОРИСНИЦИМА'!$C$3:$C$544,B38,'ПО КОРИСНИЦИМА'!$I$3:$I$544)</f>
        <v>0</v>
      </c>
      <c r="G38" s="258">
        <f t="shared" si="2"/>
        <v>0</v>
      </c>
      <c r="H38" s="261"/>
    </row>
    <row r="39" spans="1:8" hidden="1">
      <c r="A39" s="88"/>
      <c r="B39" s="202" t="s">
        <v>4352</v>
      </c>
      <c r="C39" s="237" t="s">
        <v>4394</v>
      </c>
      <c r="D39" s="258">
        <f>SUMIF('ПО КОРИСНИЦИМА'!$C$3:$C$544,B39,'ПО КОРИСНИЦИМА'!$H$3:$H$544)</f>
        <v>0</v>
      </c>
      <c r="E39" s="1109" t="e">
        <f t="shared" si="0"/>
        <v>#DIV/0!</v>
      </c>
      <c r="F39" s="353">
        <f>SUMIF('ПО КОРИСНИЦИМА'!$C$3:$C$544,B39,'ПО КОРИСНИЦИМА'!$I$3:$I$544)</f>
        <v>0</v>
      </c>
      <c r="G39" s="258">
        <f t="shared" si="2"/>
        <v>0</v>
      </c>
      <c r="H39" s="261"/>
    </row>
    <row r="40" spans="1:8" hidden="1">
      <c r="A40" s="88"/>
      <c r="B40" s="88" t="s">
        <v>4353</v>
      </c>
      <c r="C40" s="237" t="s">
        <v>4354</v>
      </c>
      <c r="D40" s="258">
        <f>SUMIF('ПО КОРИСНИЦИМА'!$C$3:$C$544,B40,'ПО КОРИСНИЦИМА'!$H$3:$H$544)</f>
        <v>0</v>
      </c>
      <c r="E40" s="1109" t="e">
        <f t="shared" si="0"/>
        <v>#DIV/0!</v>
      </c>
      <c r="F40" s="353">
        <f>SUMIF('ПО КОРИСНИЦИМА'!$C$3:$C$544,B40,'ПО КОРИСНИЦИМА'!$I$3:$I$544)</f>
        <v>0</v>
      </c>
      <c r="G40" s="258">
        <f t="shared" si="2"/>
        <v>0</v>
      </c>
      <c r="H40" s="261"/>
    </row>
    <row r="41" spans="1:8" hidden="1">
      <c r="A41" s="88"/>
      <c r="B41" s="202" t="s">
        <v>4392</v>
      </c>
      <c r="C41" s="237" t="s">
        <v>4395</v>
      </c>
      <c r="D41" s="258">
        <f>SUMIF('ПО КОРИСНИЦИМА'!$C$3:$C$544,B41,'ПО КОРИСНИЦИМА'!$H$3:$H$544)</f>
        <v>0</v>
      </c>
      <c r="E41" s="1109" t="e">
        <f t="shared" si="0"/>
        <v>#DIV/0!</v>
      </c>
      <c r="F41" s="353">
        <f>SUMIF('ПО КОРИСНИЦИМА'!$C$3:$C$544,B41,'ПО КОРИСНИЦИМА'!$I$3:$I$544)</f>
        <v>0</v>
      </c>
      <c r="G41" s="258">
        <f t="shared" si="2"/>
        <v>0</v>
      </c>
      <c r="H41" s="261"/>
    </row>
    <row r="42" spans="1:8">
      <c r="A42" s="88"/>
      <c r="B42" s="88" t="s">
        <v>4335</v>
      </c>
      <c r="C42" s="237" t="s">
        <v>4355</v>
      </c>
      <c r="D42" s="258">
        <f>SUMIF('ПО КОРИСНИЦИМА'!$C$3:$C$544,B42,'ПО КОРИСНИЦИМА'!$H$3:$H$544)</f>
        <v>26600000</v>
      </c>
      <c r="E42" s="1109">
        <f t="shared" si="0"/>
        <v>36.20700537593985</v>
      </c>
      <c r="F42" s="353">
        <f>SUMIF('ПО КОРИСНИЦИМА'!$C$3:$C$544,B42,'ПО КОРИСНИЦИМА'!$I$3:$I$544)</f>
        <v>9631063.4299999997</v>
      </c>
      <c r="G42" s="258">
        <f t="shared" si="2"/>
        <v>16968936.57</v>
      </c>
      <c r="H42" s="262"/>
    </row>
    <row r="43" spans="1:8" ht="25.5" customHeight="1">
      <c r="A43" s="88"/>
      <c r="B43" s="88" t="s">
        <v>4336</v>
      </c>
      <c r="C43" s="523" t="s">
        <v>4569</v>
      </c>
      <c r="D43" s="258">
        <f>SUMIF('ПО КОРИСНИЦИМА'!$C$3:$C$544,B43,'ПО КОРИСНИЦИМА'!$H$3:$H$544)</f>
        <v>3100000</v>
      </c>
      <c r="E43" s="1109">
        <f t="shared" si="0"/>
        <v>80.450264838709671</v>
      </c>
      <c r="F43" s="353">
        <f>SUMIF('ПО КОРИСНИЦИМА'!$C$3:$C$544,B43,'ПО КОРИСНИЦИМА'!$I$3:$I$544)</f>
        <v>2493958.21</v>
      </c>
      <c r="G43" s="258">
        <f t="shared" si="2"/>
        <v>606041.79</v>
      </c>
      <c r="H43" s="261"/>
    </row>
    <row r="44" spans="1:8" hidden="1">
      <c r="A44" s="88"/>
      <c r="B44" s="88" t="s">
        <v>4337</v>
      </c>
      <c r="C44" s="523"/>
      <c r="D44" s="258">
        <f>SUMIF('ПО КОРИСНИЦИМА'!$C$3:$C$544,B44,'ПО КОРИСНИЦИМА'!$H$3:$H$544)</f>
        <v>0</v>
      </c>
      <c r="E44" s="1105" t="e">
        <f t="shared" si="0"/>
        <v>#DIV/0!</v>
      </c>
      <c r="F44" s="353">
        <f>SUMIF('ПО КОРИСНИЦИМА'!$C$3:$C$544,B44,'ПО КОРИСНИЦИМА'!$I$3:$I$544)</f>
        <v>0</v>
      </c>
      <c r="G44" s="260">
        <f t="shared" si="1"/>
        <v>0</v>
      </c>
      <c r="H44" s="262"/>
    </row>
    <row r="45" spans="1:8">
      <c r="A45" s="204" t="s">
        <v>3565</v>
      </c>
      <c r="B45" s="205"/>
      <c r="C45" s="233" t="s">
        <v>3664</v>
      </c>
      <c r="D45" s="255">
        <f>SUM(D46:D68)</f>
        <v>22540000</v>
      </c>
      <c r="E45" s="1110">
        <f t="shared" si="0"/>
        <v>76.907395031055898</v>
      </c>
      <c r="F45" s="445">
        <f>SUM(F46:F68)</f>
        <v>17334926.84</v>
      </c>
      <c r="G45" s="255">
        <f>D45-F45</f>
        <v>5205073.16</v>
      </c>
      <c r="H45" s="257"/>
    </row>
    <row r="46" spans="1:8">
      <c r="A46" s="88"/>
      <c r="B46" s="88" t="s">
        <v>4378</v>
      </c>
      <c r="C46" s="237" t="s">
        <v>4408</v>
      </c>
      <c r="D46" s="258">
        <f>SUMIF('ПО КОРИСНИЦИМА'!$C$3:$C$544,B46,'ПО КОРИСНИЦИМА'!$H$3:$H$544)</f>
        <v>11540000</v>
      </c>
      <c r="E46" s="1109">
        <f t="shared" si="0"/>
        <v>78.995553206239165</v>
      </c>
      <c r="F46" s="353">
        <f>SUMIF('ПО КОРИСНИЦИМА'!$C$3:$C$544,B46,'ПО КОРИСНИЦИМА'!$I$3:$I$544)</f>
        <v>9116086.8399999999</v>
      </c>
      <c r="G46" s="260">
        <f>D46-F46</f>
        <v>2423913.16</v>
      </c>
      <c r="H46" s="262"/>
    </row>
    <row r="47" spans="1:8">
      <c r="A47" s="88"/>
      <c r="B47" s="88" t="s">
        <v>3968</v>
      </c>
      <c r="C47" s="237" t="s">
        <v>4331</v>
      </c>
      <c r="D47" s="258">
        <f>SUMIF('ПО КОРИСНИЦИМА'!$C$3:$C$544,B47,'ПО КОРИСНИЦИМА'!$H$3:$H$544)</f>
        <v>11000000</v>
      </c>
      <c r="E47" s="1109">
        <f t="shared" si="0"/>
        <v>74.716727272727269</v>
      </c>
      <c r="F47" s="353">
        <f>SUMIF('ПО КОРИСНИЦИМА'!$C$3:$C$544,B47,'ПО КОРИСНИЦИМА'!$I$3:$I$544)</f>
        <v>8218840</v>
      </c>
      <c r="G47" s="260">
        <f>D47-F47</f>
        <v>2781160</v>
      </c>
      <c r="H47" s="262"/>
    </row>
    <row r="48" spans="1:8" hidden="1">
      <c r="A48" s="88"/>
      <c r="B48" s="88" t="s">
        <v>4409</v>
      </c>
      <c r="C48" s="237" t="s">
        <v>4488</v>
      </c>
      <c r="D48" s="258">
        <f>SUMIF('ПО КОРИСНИЦИМА'!$C$3:$C$544,B48,'ПО КОРИСНИЦИМА'!$H$3:$H$544)</f>
        <v>0</v>
      </c>
      <c r="E48" s="1105" t="e">
        <f t="shared" si="0"/>
        <v>#DIV/0!</v>
      </c>
      <c r="F48" s="353">
        <f>SUMIF('ПО КОРИСНИЦИМА'!$C$3:$C$544,B48,'ПО КОРИСНИЦИМА'!$I$3:$I$544)</f>
        <v>0</v>
      </c>
      <c r="G48" s="260">
        <f t="shared" si="1"/>
        <v>0</v>
      </c>
      <c r="H48" s="261"/>
    </row>
    <row r="49" spans="1:8" hidden="1">
      <c r="A49" s="88"/>
      <c r="B49" s="88" t="s">
        <v>4074</v>
      </c>
      <c r="C49" s="235"/>
      <c r="D49" s="258">
        <f>SUMIF('ПО КОРИСНИЦИМА'!$C$3:$C$544,B49,'ПО КОРИСНИЦИМА'!$H$3:$H$544)</f>
        <v>0</v>
      </c>
      <c r="E49" s="1105" t="e">
        <f t="shared" si="0"/>
        <v>#DIV/0!</v>
      </c>
      <c r="F49" s="353">
        <f>SUMIF('ПО КОРИСНИЦИМА'!$C$3:$C$544,B49,'ПО КОРИСНИЦИМА'!$I$3:$I$544)</f>
        <v>0</v>
      </c>
      <c r="G49" s="260">
        <f t="shared" si="1"/>
        <v>0</v>
      </c>
      <c r="H49" s="262"/>
    </row>
    <row r="50" spans="1:8" hidden="1">
      <c r="A50" s="88"/>
      <c r="B50" s="88" t="s">
        <v>4484</v>
      </c>
      <c r="C50" s="237"/>
      <c r="D50" s="251">
        <f>SUMIF('ПО КОРИСНИЦИМА'!$G$3:$G$505,"Свега за пројекат 1501-П6:",'ПО КОРИСНИЦИМА'!$H$3:$H$505)</f>
        <v>0</v>
      </c>
      <c r="E50" s="1105" t="e">
        <f t="shared" si="0"/>
        <v>#DIV/0!</v>
      </c>
      <c r="F50" s="1085">
        <f>SUMIF('ПО КОРИСНИЦИМА'!$G$3:$G$505,"Свега за пројекат 1501-П6:",'ПО КОРИСНИЦИМА'!$I$3:$I$505)</f>
        <v>0</v>
      </c>
      <c r="G50" s="260">
        <f t="shared" ref="G50:G68" si="3">D50+F50</f>
        <v>0</v>
      </c>
      <c r="H50" s="261"/>
    </row>
    <row r="51" spans="1:8" hidden="1">
      <c r="A51" s="88"/>
      <c r="B51" s="88" t="s">
        <v>4485</v>
      </c>
      <c r="C51" s="237"/>
      <c r="D51" s="251">
        <f>SUMIF('ПО КОРИСНИЦИМА'!$G$3:$G$505,"Свега за пројекат 1501-П7:",'ПО КОРИСНИЦИМА'!$H$3:$H$505)</f>
        <v>0</v>
      </c>
      <c r="E51" s="1105" t="e">
        <f t="shared" si="0"/>
        <v>#DIV/0!</v>
      </c>
      <c r="F51" s="1085">
        <f>SUMIF('ПО КОРИСНИЦИМА'!$G$3:$G$505,"Свега за пројекат 1501-П7:",'ПО КОРИСНИЦИМА'!$I$3:$I$505)</f>
        <v>0</v>
      </c>
      <c r="G51" s="260">
        <f t="shared" si="3"/>
        <v>0</v>
      </c>
      <c r="H51" s="261"/>
    </row>
    <row r="52" spans="1:8" hidden="1">
      <c r="A52" s="88"/>
      <c r="B52" s="88" t="s">
        <v>4486</v>
      </c>
      <c r="C52" s="237"/>
      <c r="D52" s="251">
        <f>SUMIF('ПО КОРИСНИЦИМА'!$G$3:$G$505,"Свега за пројекат 1501-П8:",'ПО КОРИСНИЦИМА'!$H$3:$H$505)</f>
        <v>0</v>
      </c>
      <c r="E52" s="1105" t="e">
        <f t="shared" si="0"/>
        <v>#DIV/0!</v>
      </c>
      <c r="F52" s="1085">
        <f>SUMIF('ПО КОРИСНИЦИМА'!$G$3:$G$505,"Свега за пројекат 1501-П8:",'ПО КОРИСНИЦИМА'!$I$3:$I$505)</f>
        <v>0</v>
      </c>
      <c r="G52" s="260">
        <f t="shared" si="3"/>
        <v>0</v>
      </c>
      <c r="H52" s="261"/>
    </row>
    <row r="53" spans="1:8" hidden="1">
      <c r="A53" s="88"/>
      <c r="B53" s="88" t="s">
        <v>4487</v>
      </c>
      <c r="C53" s="237"/>
      <c r="D53" s="251">
        <f>SUMIF('ПО КОРИСНИЦИМА'!$G$3:$G$505,"Свега за пројекат 1501-П9:",'ПО КОРИСНИЦИМА'!$H$3:$H$505)</f>
        <v>0</v>
      </c>
      <c r="E53" s="1105" t="e">
        <f t="shared" si="0"/>
        <v>#DIV/0!</v>
      </c>
      <c r="F53" s="1085">
        <f>SUMIF('ПО КОРИСНИЦИМА'!$G$3:$G$505,"Свега за пројекат 1501-П9:",'ПО КОРИСНИЦИМА'!$I$3:$I$505)</f>
        <v>0</v>
      </c>
      <c r="G53" s="260">
        <f t="shared" si="3"/>
        <v>0</v>
      </c>
      <c r="H53" s="261"/>
    </row>
    <row r="54" spans="1:8" hidden="1">
      <c r="A54" s="88"/>
      <c r="B54" s="88" t="s">
        <v>4075</v>
      </c>
      <c r="C54" s="237"/>
      <c r="D54" s="251">
        <f>SUMIF('ПО КОРИСНИЦИМА'!$G$3:$G$505,"Свега за пројекат 1501-П10:",'ПО КОРИСНИЦИМА'!$H$3:$H$505)</f>
        <v>0</v>
      </c>
      <c r="E54" s="1105" t="e">
        <f t="shared" si="0"/>
        <v>#DIV/0!</v>
      </c>
      <c r="F54" s="1085">
        <f>SUMIF('ПО КОРИСНИЦИМА'!$G$3:$G$505,"Свега за пројекат 1501-П10:",'ПО КОРИСНИЦИМА'!$I$3:$I$505)</f>
        <v>0</v>
      </c>
      <c r="G54" s="260">
        <f t="shared" si="3"/>
        <v>0</v>
      </c>
      <c r="H54" s="261"/>
    </row>
    <row r="55" spans="1:8" hidden="1">
      <c r="A55" s="88"/>
      <c r="B55" s="88" t="s">
        <v>4076</v>
      </c>
      <c r="C55" s="237"/>
      <c r="D55" s="251">
        <f>SUMIF('ПО КОРИСНИЦИМА'!$G$3:$G$505,"Свега за пројекат 1501-П11:",'ПО КОРИСНИЦИМА'!$H$3:$H$505)</f>
        <v>0</v>
      </c>
      <c r="E55" s="1105" t="e">
        <f t="shared" si="0"/>
        <v>#DIV/0!</v>
      </c>
      <c r="F55" s="1085">
        <f>SUMIF('ПО КОРИСНИЦИМА'!$G$3:$G$505,"Свега за пројекат 1501-П11:",'ПО КОРИСНИЦИМА'!$I$3:$I$505)</f>
        <v>0</v>
      </c>
      <c r="G55" s="260">
        <f t="shared" si="3"/>
        <v>0</v>
      </c>
      <c r="H55" s="261"/>
    </row>
    <row r="56" spans="1:8" hidden="1">
      <c r="A56" s="88"/>
      <c r="B56" s="88" t="s">
        <v>4077</v>
      </c>
      <c r="C56" s="237"/>
      <c r="D56" s="251">
        <f>SUMIF('ПО КОРИСНИЦИМА'!$G$3:$G$505,"Свега за пројекат 1501-П12:",'ПО КОРИСНИЦИМА'!$H$3:$H$505)</f>
        <v>0</v>
      </c>
      <c r="E56" s="1105" t="e">
        <f t="shared" si="0"/>
        <v>#DIV/0!</v>
      </c>
      <c r="F56" s="1085">
        <f>SUMIF('ПО КОРИСНИЦИМА'!$G$3:$G$505,"Свега за пројекат 1501-П12:",'ПО КОРИСНИЦИМА'!$I$3:$I$505)</f>
        <v>0</v>
      </c>
      <c r="G56" s="260">
        <f t="shared" si="3"/>
        <v>0</v>
      </c>
      <c r="H56" s="261"/>
    </row>
    <row r="57" spans="1:8" hidden="1">
      <c r="A57" s="88"/>
      <c r="B57" s="88" t="s">
        <v>4078</v>
      </c>
      <c r="C57" s="237"/>
      <c r="D57" s="251">
        <f>SUMIF('ПО КОРИСНИЦИМА'!$G$3:$G$505,"Свега за пројекат 1501-П13:",'ПО КОРИСНИЦИМА'!$H$3:$H$505)</f>
        <v>0</v>
      </c>
      <c r="E57" s="1105" t="e">
        <f t="shared" si="0"/>
        <v>#DIV/0!</v>
      </c>
      <c r="F57" s="1085">
        <f>SUMIF('ПО КОРИСНИЦИМА'!$G$3:$G$505,"Свега за пројекат 1501-П13:",'ПО КОРИСНИЦИМА'!$I$3:$I$505)</f>
        <v>0</v>
      </c>
      <c r="G57" s="260">
        <f t="shared" si="3"/>
        <v>0</v>
      </c>
      <c r="H57" s="261"/>
    </row>
    <row r="58" spans="1:8" hidden="1">
      <c r="A58" s="88"/>
      <c r="B58" s="88" t="s">
        <v>4079</v>
      </c>
      <c r="C58" s="237"/>
      <c r="D58" s="251">
        <f>SUMIF('ПО КОРИСНИЦИМА'!$G$3:$G$505,"Свега за пројекат 1501-П14:",'ПО КОРИСНИЦИМА'!$H$3:$H$505)</f>
        <v>0</v>
      </c>
      <c r="E58" s="1105" t="e">
        <f t="shared" si="0"/>
        <v>#DIV/0!</v>
      </c>
      <c r="F58" s="1085">
        <f>SUMIF('ПО КОРИСНИЦИМА'!$G$3:$G$505,"Свега за пројекат 1501-П14:",'ПО КОРИСНИЦИМА'!$I$3:$I$505)</f>
        <v>0</v>
      </c>
      <c r="G58" s="260">
        <f t="shared" si="3"/>
        <v>0</v>
      </c>
      <c r="H58" s="261"/>
    </row>
    <row r="59" spans="1:8" hidden="1">
      <c r="A59" s="88"/>
      <c r="B59" s="88" t="s">
        <v>4080</v>
      </c>
      <c r="C59" s="237"/>
      <c r="D59" s="251">
        <f>SUMIF('ПО КОРИСНИЦИМА'!$G$3:$G$505,"Свега за пројекат 1501-П15:",'ПО КОРИСНИЦИМА'!$H$3:$H$505)</f>
        <v>0</v>
      </c>
      <c r="E59" s="1105" t="e">
        <f t="shared" si="0"/>
        <v>#DIV/0!</v>
      </c>
      <c r="F59" s="1085">
        <f>SUMIF('ПО КОРИСНИЦИМА'!$G$3:$G$505,"Свега за пројекат 1501-П15:",'ПО КОРИСНИЦИМА'!$I$3:$I$505)</f>
        <v>0</v>
      </c>
      <c r="G59" s="260">
        <f t="shared" si="3"/>
        <v>0</v>
      </c>
      <c r="H59" s="261"/>
    </row>
    <row r="60" spans="1:8" hidden="1">
      <c r="A60" s="88"/>
      <c r="B60" s="88" t="s">
        <v>4081</v>
      </c>
      <c r="C60" s="237"/>
      <c r="D60" s="251">
        <f>SUMIF('ПО КОРИСНИЦИМА'!$G$3:$G$505,"Свега за пројекат 1501-П16:",'ПО КОРИСНИЦИМА'!$H$3:$H$505)</f>
        <v>0</v>
      </c>
      <c r="E60" s="1105" t="e">
        <f t="shared" si="0"/>
        <v>#DIV/0!</v>
      </c>
      <c r="F60" s="1085">
        <f>SUMIF('ПО КОРИСНИЦИМА'!$G$3:$G$505,"Свега за пројекат 1501-П16:",'ПО КОРИСНИЦИМА'!$I$3:$I$505)</f>
        <v>0</v>
      </c>
      <c r="G60" s="260">
        <f t="shared" si="3"/>
        <v>0</v>
      </c>
      <c r="H60" s="261"/>
    </row>
    <row r="61" spans="1:8" hidden="1">
      <c r="A61" s="88"/>
      <c r="B61" s="88" t="s">
        <v>4082</v>
      </c>
      <c r="C61" s="237"/>
      <c r="D61" s="251">
        <f>SUMIF('ПО КОРИСНИЦИМА'!$G$3:$G$505,"Свега за пројекат 1501-П17:",'ПО КОРИСНИЦИМА'!$H$3:$H$505)</f>
        <v>0</v>
      </c>
      <c r="E61" s="1105" t="e">
        <f t="shared" si="0"/>
        <v>#DIV/0!</v>
      </c>
      <c r="F61" s="1085">
        <f>SUMIF('ПО КОРИСНИЦИМА'!$G$3:$G$505,"Свега за пројекат 1501-П17:",'ПО КОРИСНИЦИМА'!$I$3:$I$505)</f>
        <v>0</v>
      </c>
      <c r="G61" s="260">
        <f t="shared" si="3"/>
        <v>0</v>
      </c>
      <c r="H61" s="261"/>
    </row>
    <row r="62" spans="1:8" hidden="1">
      <c r="A62" s="88"/>
      <c r="B62" s="88" t="s">
        <v>4083</v>
      </c>
      <c r="C62" s="237"/>
      <c r="D62" s="251">
        <f>SUMIF('ПО КОРИСНИЦИМА'!$G$3:$G$505,"Свега за пројекат 1501-П18:",'ПО КОРИСНИЦИМА'!$H$3:$H$505)</f>
        <v>0</v>
      </c>
      <c r="E62" s="1105" t="e">
        <f t="shared" si="0"/>
        <v>#DIV/0!</v>
      </c>
      <c r="F62" s="1085">
        <f>SUMIF('ПО КОРИСНИЦИМА'!$G$3:$G$505,"Свега за пројекат 1501-П18:",'ПО КОРИСНИЦИМА'!$I$3:$I$505)</f>
        <v>0</v>
      </c>
      <c r="G62" s="260">
        <f t="shared" si="3"/>
        <v>0</v>
      </c>
      <c r="H62" s="261"/>
    </row>
    <row r="63" spans="1:8" hidden="1">
      <c r="A63" s="88"/>
      <c r="B63" s="88" t="s">
        <v>4084</v>
      </c>
      <c r="C63" s="237"/>
      <c r="D63" s="251">
        <f>SUMIF('ПО КОРИСНИЦИМА'!$G$3:$G$505,"Свега за пројекат 1501-П19:",'ПО КОРИСНИЦИМА'!$H$3:$H$505)</f>
        <v>0</v>
      </c>
      <c r="E63" s="1105" t="e">
        <f t="shared" si="0"/>
        <v>#DIV/0!</v>
      </c>
      <c r="F63" s="1085">
        <f>SUMIF('ПО КОРИСНИЦИМА'!$G$3:$G$505,"Свега за пројекат 1501-П19:",'ПО КОРИСНИЦИМА'!$I$3:$I$505)</f>
        <v>0</v>
      </c>
      <c r="G63" s="260">
        <f t="shared" si="3"/>
        <v>0</v>
      </c>
      <c r="H63" s="262"/>
    </row>
    <row r="64" spans="1:8" hidden="1">
      <c r="A64" s="88"/>
      <c r="B64" s="88" t="s">
        <v>4085</v>
      </c>
      <c r="C64" s="237"/>
      <c r="D64" s="251">
        <f>SUMIF('ПО КОРИСНИЦИМА'!$G$3:$G$505,"Свега за пројекат 1501-П20:",'ПО КОРИСНИЦИМА'!$H$3:$H$505)</f>
        <v>0</v>
      </c>
      <c r="E64" s="1105" t="e">
        <f t="shared" si="0"/>
        <v>#DIV/0!</v>
      </c>
      <c r="F64" s="1085">
        <f>SUMIF('ПО КОРИСНИЦИМА'!$G$3:$G$505,"Свега за пројекат 1501-П20:",'ПО КОРИСНИЦИМА'!$I$3:$I$505)</f>
        <v>0</v>
      </c>
      <c r="G64" s="260">
        <f t="shared" si="3"/>
        <v>0</v>
      </c>
      <c r="H64" s="262"/>
    </row>
    <row r="65" spans="1:8" hidden="1">
      <c r="A65" s="88"/>
      <c r="B65" s="88" t="s">
        <v>4086</v>
      </c>
      <c r="C65" s="237"/>
      <c r="D65" s="251">
        <f>SUMIF('ПО КОРИСНИЦИМА'!$G$3:$G$505,"Свега за пројекат 1501-П21:",'ПО КОРИСНИЦИМА'!$H$3:$H$505)</f>
        <v>0</v>
      </c>
      <c r="E65" s="1105" t="e">
        <f t="shared" si="0"/>
        <v>#DIV/0!</v>
      </c>
      <c r="F65" s="1085">
        <f>SUMIF('ПО КОРИСНИЦИМА'!$G$3:$G$505,"Свега за пројекат 1501-П21:",'ПО КОРИСНИЦИМА'!$I$3:$I$505)</f>
        <v>0</v>
      </c>
      <c r="G65" s="260">
        <f t="shared" si="3"/>
        <v>0</v>
      </c>
      <c r="H65" s="262"/>
    </row>
    <row r="66" spans="1:8" hidden="1">
      <c r="A66" s="88"/>
      <c r="B66" s="88" t="s">
        <v>4087</v>
      </c>
      <c r="C66" s="237"/>
      <c r="D66" s="251">
        <f>SUMIF('ПО КОРИСНИЦИМА'!$G$3:$G$505,"Свега за пројекат 1501-П22:",'ПО КОРИСНИЦИМА'!$H$3:$H$505)</f>
        <v>0</v>
      </c>
      <c r="E66" s="1105" t="e">
        <f t="shared" si="0"/>
        <v>#DIV/0!</v>
      </c>
      <c r="F66" s="1085">
        <f>SUMIF('ПО КОРИСНИЦИМА'!$G$3:$G$505,"Свега за пројекат 1501-П22:",'ПО КОРИСНИЦИМА'!$I$3:$I$505)</f>
        <v>0</v>
      </c>
      <c r="G66" s="260">
        <f t="shared" si="3"/>
        <v>0</v>
      </c>
      <c r="H66" s="262"/>
    </row>
    <row r="67" spans="1:8" hidden="1">
      <c r="A67" s="88"/>
      <c r="B67" s="88" t="s">
        <v>4088</v>
      </c>
      <c r="C67" s="237"/>
      <c r="D67" s="251">
        <f>SUMIF('ПО КОРИСНИЦИМА'!$G$3:$G$505,"Свега за пројекат 1501-П23:",'ПО КОРИСНИЦИМА'!$H$3:$H$505)</f>
        <v>0</v>
      </c>
      <c r="E67" s="1105" t="e">
        <f t="shared" si="0"/>
        <v>#DIV/0!</v>
      </c>
      <c r="F67" s="1085">
        <f>SUMIF('ПО КОРИСНИЦИМА'!$G$3:$G$505,"Свега за пројекат 1501-П23:",'ПО КОРИСНИЦИМА'!$I$3:$I$505)</f>
        <v>0</v>
      </c>
      <c r="G67" s="260">
        <f t="shared" si="3"/>
        <v>0</v>
      </c>
      <c r="H67" s="262"/>
    </row>
    <row r="68" spans="1:8" hidden="1">
      <c r="A68" s="201"/>
      <c r="B68" s="88" t="s">
        <v>4089</v>
      </c>
      <c r="C68" s="238"/>
      <c r="D68" s="251">
        <f>SUMIF('ПО КОРИСНИЦИМА'!$G$3:$G$505,"Свега за пројекат 1501-П24:",'ПО КОРИСНИЦИМА'!$H$3:$H$505)</f>
        <v>0</v>
      </c>
      <c r="E68" s="1105" t="e">
        <f t="shared" si="0"/>
        <v>#DIV/0!</v>
      </c>
      <c r="F68" s="1085">
        <f>SUMIF('ПО КОРИСНИЦИМА'!$G$3:$G$505,"Свега за пројекат 1501-П24:",'ПО КОРИСНИЦИМА'!$I$3:$I$505)</f>
        <v>0</v>
      </c>
      <c r="G68" s="260">
        <f t="shared" si="3"/>
        <v>0</v>
      </c>
      <c r="H68" s="263"/>
    </row>
    <row r="69" spans="1:8" s="90" customFormat="1" ht="14.25">
      <c r="A69" s="204" t="s">
        <v>3568</v>
      </c>
      <c r="B69" s="205"/>
      <c r="C69" s="233" t="s">
        <v>3665</v>
      </c>
      <c r="D69" s="255">
        <f>SUM(D70:D91)</f>
        <v>10350000</v>
      </c>
      <c r="E69" s="1110">
        <f t="shared" si="0"/>
        <v>92.529642705314018</v>
      </c>
      <c r="F69" s="445">
        <f>SUM(F70:F91)</f>
        <v>9576818.0200000014</v>
      </c>
      <c r="G69" s="255">
        <f>D69+F69</f>
        <v>19926818.020000003</v>
      </c>
      <c r="H69" s="256"/>
    </row>
    <row r="70" spans="1:8" hidden="1">
      <c r="A70" s="202"/>
      <c r="B70" s="207" t="s">
        <v>3978</v>
      </c>
      <c r="C70" s="239" t="s">
        <v>3969</v>
      </c>
      <c r="D70" s="258">
        <f>SUMIF('ПО КОРИСНИЦИМА'!$C$3:$C$544,B70,'ПО КОРИСНИЦИМА'!$H$3:$H$544)</f>
        <v>0</v>
      </c>
      <c r="E70" s="1105" t="e">
        <f t="shared" ref="E70:E133" si="4">F70/D70*100</f>
        <v>#DIV/0!</v>
      </c>
      <c r="F70" s="353">
        <f>SUMIF('ПО КОРИСНИЦИМА'!$C$3:$C$544,B70,'ПО КОРИСНИЦИМА'!$I$3:$I$544)</f>
        <v>0</v>
      </c>
      <c r="G70" s="258">
        <f t="shared" si="1"/>
        <v>0</v>
      </c>
      <c r="H70" s="259"/>
    </row>
    <row r="71" spans="1:8">
      <c r="A71" s="88"/>
      <c r="B71" s="92" t="s">
        <v>4040</v>
      </c>
      <c r="C71" s="240" t="s">
        <v>4406</v>
      </c>
      <c r="D71" s="258">
        <f>SUMIF('ПО КОРИСНИЦИМА'!$C$3:$C$544,B71,'ПО КОРИСНИЦИМА'!$H$3:$H$544)</f>
        <v>10350000</v>
      </c>
      <c r="E71" s="1109">
        <f t="shared" si="4"/>
        <v>92.529642705314018</v>
      </c>
      <c r="F71" s="353">
        <f>SUMIF('ПО КОРИСНИЦИМА'!$C$3:$C$544,B71,'ПО КОРИСНИЦИМА'!$I$3:$I$544)</f>
        <v>9576818.0200000014</v>
      </c>
      <c r="G71" s="260">
        <f>D71-F71</f>
        <v>773181.97999999858</v>
      </c>
      <c r="H71" s="262"/>
    </row>
    <row r="72" spans="1:8" hidden="1">
      <c r="A72" s="92"/>
      <c r="B72" s="88" t="s">
        <v>4090</v>
      </c>
      <c r="C72" s="235" t="str">
        <f>IFERROR(VLOOKUP(B72,'ПО КОРИСНИЦИМА'!$C$3:$J$505,5,FALSE),"")</f>
        <v/>
      </c>
      <c r="D72" s="258">
        <f>SUMIF('ПО КОРИСНИЦИМА'!$C$3:$C$544,B72,'ПО КОРИСНИЦИМА'!$H$3:$H$544)</f>
        <v>0</v>
      </c>
      <c r="E72" s="1105" t="e">
        <f t="shared" si="4"/>
        <v>#DIV/0!</v>
      </c>
      <c r="F72" s="353">
        <f>SUMIF('ПО КОРИСНИЦИМА'!$C$3:$C$544,B72,'ПО КОРИСНИЦИМА'!$I$3:$I$544)</f>
        <v>0</v>
      </c>
      <c r="G72" s="260">
        <f t="shared" si="1"/>
        <v>0</v>
      </c>
      <c r="H72" s="262"/>
    </row>
    <row r="73" spans="1:8" hidden="1">
      <c r="A73" s="92"/>
      <c r="B73" s="88" t="s">
        <v>4489</v>
      </c>
      <c r="C73" s="235" t="str">
        <f>IFERROR(VLOOKUP(B73,'ПО КОРИСНИЦИМА'!$C$3:$J$505,5,FALSE),"")</f>
        <v/>
      </c>
      <c r="D73" s="251">
        <f>SUMIF('ПО КОРИСНИЦИМА'!$G$3:$G$505,"Свега за пројекат 1502-П6:",'ПО КОРИСНИЦИМА'!$H$3:$H$505)</f>
        <v>0</v>
      </c>
      <c r="E73" s="1105" t="e">
        <f t="shared" si="4"/>
        <v>#DIV/0!</v>
      </c>
      <c r="F73" s="1085">
        <f>SUMIF('ПО КОРИСНИЦИМА'!$G$3:$G$505,"Свега за пројекат 1502-П6:",'ПО КОРИСНИЦИМА'!$I$3:$I$505)</f>
        <v>0</v>
      </c>
      <c r="G73" s="260">
        <f t="shared" si="1"/>
        <v>0</v>
      </c>
      <c r="H73" s="261"/>
    </row>
    <row r="74" spans="1:8" hidden="1">
      <c r="A74" s="92"/>
      <c r="B74" s="88" t="s">
        <v>4490</v>
      </c>
      <c r="C74" s="235" t="str">
        <f>IFERROR(VLOOKUP(B74,'ПО КОРИСНИЦИМА'!$C$3:$J$505,5,FALSE),"")</f>
        <v/>
      </c>
      <c r="D74" s="251">
        <f>SUMIF('ПО КОРИСНИЦИМА'!$G$3:$G$505,"Свега за пројекат 1502-П7:",'ПО КОРИСНИЦИМА'!$H$3:$H$505)</f>
        <v>0</v>
      </c>
      <c r="E74" s="1105" t="e">
        <f t="shared" si="4"/>
        <v>#DIV/0!</v>
      </c>
      <c r="F74" s="1085">
        <f>SUMIF('ПО КОРИСНИЦИМА'!$G$3:$G$505,"Свега за пројекат 1502-П7:",'ПО КОРИСНИЦИМА'!$I$3:$I$505)</f>
        <v>0</v>
      </c>
      <c r="G74" s="260">
        <f t="shared" si="1"/>
        <v>0</v>
      </c>
      <c r="H74" s="261"/>
    </row>
    <row r="75" spans="1:8" hidden="1">
      <c r="A75" s="92"/>
      <c r="B75" s="88" t="s">
        <v>4491</v>
      </c>
      <c r="C75" s="235" t="str">
        <f>IFERROR(VLOOKUP(B75,'ПО КОРИСНИЦИМА'!$C$3:$J$505,5,FALSE),"")</f>
        <v/>
      </c>
      <c r="D75" s="251">
        <f>SUMIF('ПО КОРИСНИЦИМА'!$G$3:$G$505,"Свега за пројекат 1502-П8:",'ПО КОРИСНИЦИМА'!$H$3:$H$505)</f>
        <v>0</v>
      </c>
      <c r="E75" s="1105" t="e">
        <f t="shared" si="4"/>
        <v>#DIV/0!</v>
      </c>
      <c r="F75" s="1085">
        <f>SUMIF('ПО КОРИСНИЦИМА'!$G$3:$G$505,"Свега за пројекат 1502-П8:",'ПО КОРИСНИЦИМА'!$I$3:$I$505)</f>
        <v>0</v>
      </c>
      <c r="G75" s="260">
        <f t="shared" si="1"/>
        <v>0</v>
      </c>
      <c r="H75" s="261"/>
    </row>
    <row r="76" spans="1:8" hidden="1">
      <c r="A76" s="92"/>
      <c r="B76" s="88" t="s">
        <v>4492</v>
      </c>
      <c r="C76" s="235" t="str">
        <f>IFERROR(VLOOKUP(B76,'ПО КОРИСНИЦИМА'!$C$3:$J$505,5,FALSE),"")</f>
        <v/>
      </c>
      <c r="D76" s="251">
        <f>SUMIF('ПО КОРИСНИЦИМА'!$G$3:$G$505,"Свега за пројекат 1502-П9:",'ПО КОРИСНИЦИМА'!$H$3:$H$505)</f>
        <v>0</v>
      </c>
      <c r="E76" s="1105" t="e">
        <f t="shared" si="4"/>
        <v>#DIV/0!</v>
      </c>
      <c r="F76" s="1085">
        <f>SUMIF('ПО КОРИСНИЦИМА'!$G$3:$G$505,"Свега за пројекат 1502-П9:",'ПО КОРИСНИЦИМА'!$I$3:$I$505)</f>
        <v>0</v>
      </c>
      <c r="G76" s="260">
        <f t="shared" si="1"/>
        <v>0</v>
      </c>
      <c r="H76" s="261"/>
    </row>
    <row r="77" spans="1:8" hidden="1">
      <c r="A77" s="92"/>
      <c r="B77" s="88" t="s">
        <v>4091</v>
      </c>
      <c r="C77" s="235" t="str">
        <f>IFERROR(VLOOKUP(B77,'ПО КОРИСНИЦИМА'!$C$3:$J$505,5,FALSE),"")</f>
        <v/>
      </c>
      <c r="D77" s="251">
        <f>SUMIF('ПО КОРИСНИЦИМА'!$G$3:$G$505,"Свега за пројекат 1502-П10:",'ПО КОРИСНИЦИМА'!$H$3:$H$505)</f>
        <v>0</v>
      </c>
      <c r="E77" s="1105" t="e">
        <f t="shared" si="4"/>
        <v>#DIV/0!</v>
      </c>
      <c r="F77" s="1085">
        <f>SUMIF('ПО КОРИСНИЦИМА'!$G$3:$G$505,"Свега за пројекат 1502-П10:",'ПО КОРИСНИЦИМА'!$I$3:$I$505)</f>
        <v>0</v>
      </c>
      <c r="G77" s="260">
        <f t="shared" si="1"/>
        <v>0</v>
      </c>
      <c r="H77" s="261"/>
    </row>
    <row r="78" spans="1:8" hidden="1">
      <c r="A78" s="92"/>
      <c r="B78" s="88" t="s">
        <v>4092</v>
      </c>
      <c r="C78" s="235" t="str">
        <f>IFERROR(VLOOKUP(B78,'ПО КОРИСНИЦИМА'!$C$3:$J$505,5,FALSE),"")</f>
        <v/>
      </c>
      <c r="D78" s="251">
        <f>SUMIF('ПО КОРИСНИЦИМА'!$G$3:$G$505,"Свега за пројекат 1502-П11:",'ПО КОРИСНИЦИМА'!$H$3:$H$505)</f>
        <v>0</v>
      </c>
      <c r="E78" s="1105" t="e">
        <f t="shared" si="4"/>
        <v>#DIV/0!</v>
      </c>
      <c r="F78" s="1085">
        <f>SUMIF('ПО КОРИСНИЦИМА'!$G$3:$G$505,"Свега за пројекат 1502-П11:",'ПО КОРИСНИЦИМА'!$I$3:$I$505)</f>
        <v>0</v>
      </c>
      <c r="G78" s="260">
        <f t="shared" si="1"/>
        <v>0</v>
      </c>
      <c r="H78" s="261"/>
    </row>
    <row r="79" spans="1:8" hidden="1">
      <c r="A79" s="92"/>
      <c r="B79" s="88" t="s">
        <v>4093</v>
      </c>
      <c r="C79" s="235" t="str">
        <f>IFERROR(VLOOKUP(B79,'ПО КОРИСНИЦИМА'!$C$3:$J$505,5,FALSE),"")</f>
        <v/>
      </c>
      <c r="D79" s="251">
        <f>SUMIF('ПО КОРИСНИЦИМА'!$G$3:$G$505,"Свега за пројекат 1502-П12:",'ПО КОРИСНИЦИМА'!$H$3:$H$505)</f>
        <v>0</v>
      </c>
      <c r="E79" s="1105" t="e">
        <f t="shared" si="4"/>
        <v>#DIV/0!</v>
      </c>
      <c r="F79" s="1085">
        <f>SUMIF('ПО КОРИСНИЦИМА'!$G$3:$G$505,"Свега за пројекат 1502-П12:",'ПО КОРИСНИЦИМА'!$I$3:$I$505)</f>
        <v>0</v>
      </c>
      <c r="G79" s="260">
        <f t="shared" si="1"/>
        <v>0</v>
      </c>
      <c r="H79" s="261"/>
    </row>
    <row r="80" spans="1:8" hidden="1">
      <c r="A80" s="92"/>
      <c r="B80" s="88" t="s">
        <v>4094</v>
      </c>
      <c r="C80" s="235" t="str">
        <f>IFERROR(VLOOKUP(B80,'ПО КОРИСНИЦИМА'!$C$3:$J$505,5,FALSE),"")</f>
        <v/>
      </c>
      <c r="D80" s="251">
        <f>SUMIF('ПО КОРИСНИЦИМА'!$G$3:$G$505,"Свега за пројекат 1502-П13:",'ПО КОРИСНИЦИМА'!$H$3:$H$505)</f>
        <v>0</v>
      </c>
      <c r="E80" s="1105" t="e">
        <f t="shared" si="4"/>
        <v>#DIV/0!</v>
      </c>
      <c r="F80" s="1085">
        <f>SUMIF('ПО КОРИСНИЦИМА'!$G$3:$G$505,"Свега за пројекат 1502-П13:",'ПО КОРИСНИЦИМА'!$I$3:$I$505)</f>
        <v>0</v>
      </c>
      <c r="G80" s="260">
        <f t="shared" si="1"/>
        <v>0</v>
      </c>
      <c r="H80" s="261"/>
    </row>
    <row r="81" spans="1:8" hidden="1">
      <c r="A81" s="92"/>
      <c r="B81" s="88" t="s">
        <v>4095</v>
      </c>
      <c r="C81" s="235" t="str">
        <f>IFERROR(VLOOKUP(B81,'ПО КОРИСНИЦИМА'!$C$3:$J$505,5,FALSE),"")</f>
        <v/>
      </c>
      <c r="D81" s="251">
        <f>SUMIF('ПО КОРИСНИЦИМА'!$G$3:$G$505,"Свега за пројекат 1502-П14:",'ПО КОРИСНИЦИМА'!$H$3:$H$505)</f>
        <v>0</v>
      </c>
      <c r="E81" s="1105" t="e">
        <f t="shared" si="4"/>
        <v>#DIV/0!</v>
      </c>
      <c r="F81" s="1085">
        <f>SUMIF('ПО КОРИСНИЦИМА'!$G$3:$G$505,"Свега за пројекат 1502-П14:",'ПО КОРИСНИЦИМА'!$I$3:$I$505)</f>
        <v>0</v>
      </c>
      <c r="G81" s="260">
        <f t="shared" si="1"/>
        <v>0</v>
      </c>
      <c r="H81" s="261"/>
    </row>
    <row r="82" spans="1:8" hidden="1">
      <c r="A82" s="92"/>
      <c r="B82" s="88" t="s">
        <v>4096</v>
      </c>
      <c r="C82" s="235" t="str">
        <f>IFERROR(VLOOKUP(B82,'ПО КОРИСНИЦИМА'!$C$3:$J$505,5,FALSE),"")</f>
        <v/>
      </c>
      <c r="D82" s="251">
        <f>SUMIF('ПО КОРИСНИЦИМА'!$G$3:$G$505,"Свега за пројекат 1502-П15:",'ПО КОРИСНИЦИМА'!$H$3:$H$505)</f>
        <v>0</v>
      </c>
      <c r="E82" s="1105" t="e">
        <f t="shared" si="4"/>
        <v>#DIV/0!</v>
      </c>
      <c r="F82" s="1085">
        <f>SUMIF('ПО КОРИСНИЦИМА'!$G$3:$G$505,"Свега за пројекат 1502-П15:",'ПО КОРИСНИЦИМА'!$I$3:$I$505)</f>
        <v>0</v>
      </c>
      <c r="G82" s="260">
        <f t="shared" si="1"/>
        <v>0</v>
      </c>
      <c r="H82" s="261"/>
    </row>
    <row r="83" spans="1:8" hidden="1">
      <c r="A83" s="92"/>
      <c r="B83" s="88" t="s">
        <v>4097</v>
      </c>
      <c r="C83" s="235" t="str">
        <f>IFERROR(VLOOKUP(B83,'ПО КОРИСНИЦИМА'!$C$3:$J$505,5,FALSE),"")</f>
        <v/>
      </c>
      <c r="D83" s="251">
        <f>SUMIF('ПО КОРИСНИЦИМА'!$G$3:$G$505,"Свега за пројекат 1502-П16:",'ПО КОРИСНИЦИМА'!$H$3:$H$505)</f>
        <v>0</v>
      </c>
      <c r="E83" s="1105" t="e">
        <f t="shared" si="4"/>
        <v>#DIV/0!</v>
      </c>
      <c r="F83" s="1085">
        <f>SUMIF('ПО КОРИСНИЦИМА'!$G$3:$G$505,"Свега за пројекат 1502-П16:",'ПО КОРИСНИЦИМА'!$I$3:$I$505)</f>
        <v>0</v>
      </c>
      <c r="G83" s="260">
        <f t="shared" si="1"/>
        <v>0</v>
      </c>
      <c r="H83" s="261"/>
    </row>
    <row r="84" spans="1:8" hidden="1">
      <c r="A84" s="92"/>
      <c r="B84" s="88" t="s">
        <v>4098</v>
      </c>
      <c r="C84" s="235" t="str">
        <f>IFERROR(VLOOKUP(B84,'ПО КОРИСНИЦИМА'!$C$3:$J$505,5,FALSE),"")</f>
        <v/>
      </c>
      <c r="D84" s="251">
        <f>SUMIF('ПО КОРИСНИЦИМА'!$G$3:$G$505,"Свега за пројекат 1502-П17:",'ПО КОРИСНИЦИМА'!$H$3:$H$505)</f>
        <v>0</v>
      </c>
      <c r="E84" s="1105" t="e">
        <f t="shared" si="4"/>
        <v>#DIV/0!</v>
      </c>
      <c r="F84" s="1085">
        <f>SUMIF('ПО КОРИСНИЦИМА'!$G$3:$G$505,"Свега за пројекат 1502-П17:",'ПО КОРИСНИЦИМА'!$I$3:$I$505)</f>
        <v>0</v>
      </c>
      <c r="G84" s="260">
        <f t="shared" si="1"/>
        <v>0</v>
      </c>
      <c r="H84" s="261"/>
    </row>
    <row r="85" spans="1:8" hidden="1">
      <c r="A85" s="92"/>
      <c r="B85" s="88" t="s">
        <v>4099</v>
      </c>
      <c r="C85" s="235" t="str">
        <f>IFERROR(VLOOKUP(B85,'ПО КОРИСНИЦИМА'!$C$3:$J$505,5,FALSE),"")</f>
        <v/>
      </c>
      <c r="D85" s="251">
        <f>SUMIF('ПО КОРИСНИЦИМА'!$G$3:$G$505,"Свега за пројекат 1502-П18:",'ПО КОРИСНИЦИМА'!$H$3:$H$505)</f>
        <v>0</v>
      </c>
      <c r="E85" s="1105" t="e">
        <f t="shared" si="4"/>
        <v>#DIV/0!</v>
      </c>
      <c r="F85" s="1085">
        <f>SUMIF('ПО КОРИСНИЦИМА'!$G$3:$G$505,"Свега за пројекат 1502-П18:",'ПО КОРИСНИЦИМА'!$I$3:$I$505)</f>
        <v>0</v>
      </c>
      <c r="G85" s="260">
        <f t="shared" si="1"/>
        <v>0</v>
      </c>
      <c r="H85" s="261"/>
    </row>
    <row r="86" spans="1:8" hidden="1">
      <c r="A86" s="92"/>
      <c r="B86" s="88" t="s">
        <v>4100</v>
      </c>
      <c r="C86" s="235" t="str">
        <f>IFERROR(VLOOKUP(B86,'ПО КОРИСНИЦИМА'!$C$3:$J$505,5,FALSE),"")</f>
        <v/>
      </c>
      <c r="D86" s="251">
        <f>SUMIF('ПО КОРИСНИЦИМА'!$G$3:$G$505,"Свега за пројекат 1502-П19:",'ПО КОРИСНИЦИМА'!$H$3:$H$505)</f>
        <v>0</v>
      </c>
      <c r="E86" s="1105" t="e">
        <f t="shared" si="4"/>
        <v>#DIV/0!</v>
      </c>
      <c r="F86" s="1085">
        <f>SUMIF('ПО КОРИСНИЦИМА'!$G$3:$G$505,"Свега за пројекат 1502-П19:",'ПО КОРИСНИЦИМА'!$I$3:$I$505)</f>
        <v>0</v>
      </c>
      <c r="G86" s="260">
        <f t="shared" si="1"/>
        <v>0</v>
      </c>
      <c r="H86" s="261"/>
    </row>
    <row r="87" spans="1:8" hidden="1">
      <c r="A87" s="92"/>
      <c r="B87" s="88" t="s">
        <v>4101</v>
      </c>
      <c r="C87" s="235" t="str">
        <f>IFERROR(VLOOKUP(B87,'ПО КОРИСНИЦИМА'!$C$3:$J$505,5,FALSE),"")</f>
        <v/>
      </c>
      <c r="D87" s="251">
        <f>SUMIF('ПО КОРИСНИЦИМА'!$G$3:$G$505,"Свега за пројекат 1502-П20:",'ПО КОРИСНИЦИМА'!$H$3:$H$505)</f>
        <v>0</v>
      </c>
      <c r="E87" s="1105" t="e">
        <f t="shared" si="4"/>
        <v>#DIV/0!</v>
      </c>
      <c r="F87" s="1085">
        <f>SUMIF('ПО КОРИСНИЦИМА'!$G$3:$G$505,"Свега за пројекат 1502-П20:",'ПО КОРИСНИЦИМА'!$I$3:$I$505)</f>
        <v>0</v>
      </c>
      <c r="G87" s="260">
        <f t="shared" si="1"/>
        <v>0</v>
      </c>
      <c r="H87" s="261"/>
    </row>
    <row r="88" spans="1:8" hidden="1">
      <c r="A88" s="92"/>
      <c r="B88" s="88" t="s">
        <v>4102</v>
      </c>
      <c r="C88" s="235" t="str">
        <f>IFERROR(VLOOKUP(B88,'ПО КОРИСНИЦИМА'!$C$3:$J$505,5,FALSE),"")</f>
        <v/>
      </c>
      <c r="D88" s="251">
        <f>SUMIF('ПО КОРИСНИЦИМА'!$G$3:$G$505,"Свега за пројекат 1502-П21:",'ПО КОРИСНИЦИМА'!$H$3:$H$505)</f>
        <v>0</v>
      </c>
      <c r="E88" s="1105" t="e">
        <f t="shared" si="4"/>
        <v>#DIV/0!</v>
      </c>
      <c r="F88" s="1085">
        <f>SUMIF('ПО КОРИСНИЦИМА'!$G$3:$G$505,"Свега за пројекат 1502-П21:",'ПО КОРИСНИЦИМА'!$I$3:$I$505)</f>
        <v>0</v>
      </c>
      <c r="G88" s="260">
        <f t="shared" si="1"/>
        <v>0</v>
      </c>
      <c r="H88" s="261"/>
    </row>
    <row r="89" spans="1:8" hidden="1">
      <c r="A89" s="92"/>
      <c r="B89" s="88" t="s">
        <v>4103</v>
      </c>
      <c r="C89" s="235" t="str">
        <f>IFERROR(VLOOKUP(B89,'ПО КОРИСНИЦИМА'!$C$3:$J$505,5,FALSE),"")</f>
        <v/>
      </c>
      <c r="D89" s="251">
        <f>SUMIF('ПО КОРИСНИЦИМА'!$G$3:$G$505,"Свега за пројекат 1502-П22:",'ПО КОРИСНИЦИМА'!$H$3:$H$505)</f>
        <v>0</v>
      </c>
      <c r="E89" s="1105" t="e">
        <f t="shared" si="4"/>
        <v>#DIV/0!</v>
      </c>
      <c r="F89" s="1085">
        <f>SUMIF('ПО КОРИСНИЦИМА'!$G$3:$G$505,"Свега за пројекат 1502-П22:",'ПО КОРИСНИЦИМА'!$I$3:$I$505)</f>
        <v>0</v>
      </c>
      <c r="G89" s="260">
        <f t="shared" si="1"/>
        <v>0</v>
      </c>
      <c r="H89" s="262"/>
    </row>
    <row r="90" spans="1:8" hidden="1">
      <c r="A90" s="92"/>
      <c r="B90" s="88" t="s">
        <v>4104</v>
      </c>
      <c r="C90" s="235" t="str">
        <f>IFERROR(VLOOKUP(B90,'ПО КОРИСНИЦИМА'!$C$3:$J$505,5,FALSE),"")</f>
        <v/>
      </c>
      <c r="D90" s="251">
        <f>SUMIF('ПО КОРИСНИЦИМА'!$G$3:$G$505,"Свега за пројекат 1502-П23:",'ПО КОРИСНИЦИМА'!$H$3:$H$505)</f>
        <v>0</v>
      </c>
      <c r="E90" s="1105" t="e">
        <f t="shared" si="4"/>
        <v>#DIV/0!</v>
      </c>
      <c r="F90" s="1085">
        <f>SUMIF('ПО КОРИСНИЦИМА'!$G$3:$G$505,"Свега за пројекат 1502-П23:",'ПО КОРИСНИЦИМА'!$I$3:$I$505)</f>
        <v>0</v>
      </c>
      <c r="G90" s="260">
        <f t="shared" si="1"/>
        <v>0</v>
      </c>
      <c r="H90" s="262"/>
    </row>
    <row r="91" spans="1:8" hidden="1">
      <c r="A91" s="208"/>
      <c r="B91" s="88" t="s">
        <v>4105</v>
      </c>
      <c r="C91" s="235" t="str">
        <f>IFERROR(VLOOKUP(B91,'ПО КОРИСНИЦИМА'!$C$3:$J$505,5,FALSE),"")</f>
        <v/>
      </c>
      <c r="D91" s="251">
        <f>SUMIF('ПО КОРИСНИЦИМА'!$G$3:$G$505,"Свега за пројекат 1502-П24:",'ПО КОРИСНИЦИМА'!$H$3:$H$505)</f>
        <v>0</v>
      </c>
      <c r="E91" s="1105" t="e">
        <f t="shared" si="4"/>
        <v>#DIV/0!</v>
      </c>
      <c r="F91" s="1085">
        <f>SUMIF('ПО КОРИСНИЦИМА'!$G$3:$G$505,"Свега за пројекат 1502-П24:",'ПО КОРИСНИЦИМА'!$I$3:$I$505)</f>
        <v>0</v>
      </c>
      <c r="G91" s="260">
        <f t="shared" si="1"/>
        <v>0</v>
      </c>
      <c r="H91" s="263"/>
    </row>
    <row r="92" spans="1:8" s="90" customFormat="1" ht="14.25">
      <c r="A92" s="204" t="s">
        <v>3571</v>
      </c>
      <c r="B92" s="205"/>
      <c r="C92" s="233" t="s">
        <v>4410</v>
      </c>
      <c r="D92" s="255">
        <f>SUM(D93:D105)</f>
        <v>28800000</v>
      </c>
      <c r="E92" s="1110">
        <f t="shared" si="4"/>
        <v>17.777440625000001</v>
      </c>
      <c r="F92" s="445">
        <f>SUM(F93:F105)</f>
        <v>5119902.9000000004</v>
      </c>
      <c r="G92" s="255">
        <f>D92+F92</f>
        <v>33919902.899999999</v>
      </c>
      <c r="H92" s="256"/>
    </row>
    <row r="93" spans="1:8" ht="25.5" customHeight="1">
      <c r="A93" s="202"/>
      <c r="B93" s="209" t="s">
        <v>3979</v>
      </c>
      <c r="C93" s="600" t="s">
        <v>4411</v>
      </c>
      <c r="D93" s="258">
        <f>SUMIF('ПО КОРИСНИЦИМА'!$C$3:$C$544,B93,'ПО КОРИСНИЦИМА'!$H$3:$H$544)</f>
        <v>28800000</v>
      </c>
      <c r="E93" s="1109">
        <f t="shared" si="4"/>
        <v>17.777440625000001</v>
      </c>
      <c r="F93" s="353">
        <f>SUMIF('ПО КОРИСНИЦИМА'!$C$3:$C$544,B93,'ПО КОРИСНИЦИМА'!$I$3:$I$544)</f>
        <v>5119902.9000000004</v>
      </c>
      <c r="G93" s="258">
        <f>D93-F93</f>
        <v>23680097.100000001</v>
      </c>
      <c r="H93" s="259"/>
    </row>
    <row r="94" spans="1:8" hidden="1">
      <c r="A94" s="88"/>
      <c r="B94" s="92" t="s">
        <v>3977</v>
      </c>
      <c r="C94" s="235" t="s">
        <v>4412</v>
      </c>
      <c r="D94" s="258">
        <f>SUMIF('ПО КОРИСНИЦИМА'!$C$3:$C$544,B94,'ПО КОРИСНИЦИМА'!$H$3:$H$544)</f>
        <v>0</v>
      </c>
      <c r="E94" s="1105" t="e">
        <f t="shared" si="4"/>
        <v>#DIV/0!</v>
      </c>
      <c r="F94" s="353">
        <f>SUMIF('ПО КОРИСНИЦИМА'!$C$3:$C$544,B94,'ПО КОРИСНИЦИМА'!$I$3:$I$544)</f>
        <v>0</v>
      </c>
      <c r="G94" s="260">
        <f t="shared" si="1"/>
        <v>0</v>
      </c>
      <c r="H94" s="262"/>
    </row>
    <row r="95" spans="1:8" hidden="1">
      <c r="A95" s="92"/>
      <c r="B95" s="91" t="s">
        <v>4493</v>
      </c>
      <c r="C95" s="235" t="str">
        <f>IFERROR(VLOOKUP(B95,'ПО КОРИСНИЦИМА'!$C$3:$J$505,5,FALSE),"")</f>
        <v/>
      </c>
      <c r="D95" s="251">
        <f>SUMIF('ПО КОРИСНИЦИМА'!$G$3:$G$505,"Свега за пројекат 0101-П6:",'ПО КОРИСНИЦИМА'!$H$3:$H$505)</f>
        <v>0</v>
      </c>
      <c r="E95" s="1105" t="e">
        <f t="shared" si="4"/>
        <v>#DIV/0!</v>
      </c>
      <c r="F95" s="1085">
        <f>SUMIF('ПО КОРИСНИЦИМА'!$G$3:$G$505,"Свега за пројекат 0101-П6:",'ПО КОРИСНИЦИМА'!$I$3:$I$505)</f>
        <v>0</v>
      </c>
      <c r="G95" s="260">
        <f t="shared" ref="G95:G105" si="5">D95+F95</f>
        <v>0</v>
      </c>
      <c r="H95" s="261"/>
    </row>
    <row r="96" spans="1:8" hidden="1">
      <c r="A96" s="92"/>
      <c r="B96" s="91" t="s">
        <v>4494</v>
      </c>
      <c r="C96" s="235" t="str">
        <f>IFERROR(VLOOKUP(B96,'ПО КОРИСНИЦИМА'!$C$3:$J$505,5,FALSE),"")</f>
        <v/>
      </c>
      <c r="D96" s="251">
        <f>SUMIF('ПО КОРИСНИЦИМА'!$G$3:$G$505,"Свега за пројекат 0101-П7:",'ПО КОРИСНИЦИМА'!$H$3:$H$505)</f>
        <v>0</v>
      </c>
      <c r="E96" s="1105" t="e">
        <f t="shared" si="4"/>
        <v>#DIV/0!</v>
      </c>
      <c r="F96" s="1085">
        <f>SUMIF('ПО КОРИСНИЦИМА'!$G$3:$G$505,"Свега за пројекат 0101-П7:",'ПО КОРИСНИЦИМА'!$I$3:$I$505)</f>
        <v>0</v>
      </c>
      <c r="G96" s="260">
        <f t="shared" si="5"/>
        <v>0</v>
      </c>
      <c r="H96" s="261"/>
    </row>
    <row r="97" spans="1:8" hidden="1">
      <c r="A97" s="92"/>
      <c r="B97" s="91" t="s">
        <v>4495</v>
      </c>
      <c r="C97" s="235" t="str">
        <f>IFERROR(VLOOKUP(B97,'ПО КОРИСНИЦИМА'!$C$3:$J$505,5,FALSE),"")</f>
        <v/>
      </c>
      <c r="D97" s="251">
        <f>SUMIF('ПО КОРИСНИЦИМА'!$G$3:$G$505,"Свега за пројекат 0101-П8:",'ПО КОРИСНИЦИМА'!$H$3:$H$505)</f>
        <v>0</v>
      </c>
      <c r="E97" s="1105" t="e">
        <f t="shared" si="4"/>
        <v>#DIV/0!</v>
      </c>
      <c r="F97" s="1085">
        <f>SUMIF('ПО КОРИСНИЦИМА'!$G$3:$G$505,"Свега за пројекат 0101-П8:",'ПО КОРИСНИЦИМА'!$I$3:$I$505)</f>
        <v>0</v>
      </c>
      <c r="G97" s="260">
        <f t="shared" si="5"/>
        <v>0</v>
      </c>
      <c r="H97" s="261"/>
    </row>
    <row r="98" spans="1:8" hidden="1">
      <c r="A98" s="92"/>
      <c r="B98" s="91" t="s">
        <v>4496</v>
      </c>
      <c r="C98" s="235" t="str">
        <f>IFERROR(VLOOKUP(B98,'ПО КОРИСНИЦИМА'!$C$3:$J$505,5,FALSE),"")</f>
        <v/>
      </c>
      <c r="D98" s="251">
        <f>SUMIF('ПО КОРИСНИЦИМА'!$G$3:$G$505,"Свега за пројекат 0101-П9:",'ПО КОРИСНИЦИМА'!$H$3:$H$505)</f>
        <v>0</v>
      </c>
      <c r="E98" s="1105" t="e">
        <f t="shared" si="4"/>
        <v>#DIV/0!</v>
      </c>
      <c r="F98" s="1085">
        <f>SUMIF('ПО КОРИСНИЦИМА'!$G$3:$G$505,"Свега за пројекат 0101-П9:",'ПО КОРИСНИЦИМА'!$I$3:$I$505)</f>
        <v>0</v>
      </c>
      <c r="G98" s="260">
        <f t="shared" si="5"/>
        <v>0</v>
      </c>
      <c r="H98" s="261"/>
    </row>
    <row r="99" spans="1:8" hidden="1">
      <c r="A99" s="92"/>
      <c r="B99" s="91" t="s">
        <v>4497</v>
      </c>
      <c r="C99" s="235" t="str">
        <f>IFERROR(VLOOKUP(B99,'ПО КОРИСНИЦИМА'!$C$3:$J$505,5,FALSE),"")</f>
        <v/>
      </c>
      <c r="D99" s="251">
        <f>SUMIF('ПО КОРИСНИЦИМА'!$G$3:$G$505,"Свега за пројекат 0101-П10:",'ПО КОРИСНИЦИМА'!$H$3:$H$505)</f>
        <v>0</v>
      </c>
      <c r="E99" s="1105" t="e">
        <f t="shared" si="4"/>
        <v>#DIV/0!</v>
      </c>
      <c r="F99" s="1085">
        <f>SUMIF('ПО КОРИСНИЦИМА'!$G$3:$G$505,"Свега за пројекат 0101-П10:",'ПО КОРИСНИЦИМА'!$I$3:$I$505)</f>
        <v>0</v>
      </c>
      <c r="G99" s="260">
        <f t="shared" si="5"/>
        <v>0</v>
      </c>
      <c r="H99" s="261"/>
    </row>
    <row r="100" spans="1:8" hidden="1">
      <c r="A100" s="92"/>
      <c r="B100" s="91" t="s">
        <v>4106</v>
      </c>
      <c r="C100" s="235" t="str">
        <f>IFERROR(VLOOKUP(B100,'ПО КОРИСНИЦИМА'!$C$3:$J$505,5,FALSE),"")</f>
        <v/>
      </c>
      <c r="D100" s="251">
        <f>SUMIF('ПО КОРИСНИЦИМА'!$G$3:$G$505,"Свега за пројекат 0101-П11:",'ПО КОРИСНИЦИМА'!$H$3:$H$505)</f>
        <v>0</v>
      </c>
      <c r="E100" s="1105" t="e">
        <f t="shared" si="4"/>
        <v>#DIV/0!</v>
      </c>
      <c r="F100" s="1085">
        <f>SUMIF('ПО КОРИСНИЦИМА'!$G$3:$G$505,"Свега за пројекат 0101-П11:",'ПО КОРИСНИЦИМА'!$I$3:$I$505)</f>
        <v>0</v>
      </c>
      <c r="G100" s="260">
        <f t="shared" si="5"/>
        <v>0</v>
      </c>
      <c r="H100" s="261"/>
    </row>
    <row r="101" spans="1:8" hidden="1">
      <c r="A101" s="92"/>
      <c r="B101" s="91" t="s">
        <v>4107</v>
      </c>
      <c r="C101" s="235" t="str">
        <f>IFERROR(VLOOKUP(B101,'ПО КОРИСНИЦИМА'!$C$3:$J$505,5,FALSE),"")</f>
        <v/>
      </c>
      <c r="D101" s="251">
        <f>SUMIF('ПО КОРИСНИЦИМА'!$G$3:$G$505,"Свега за пројекат 0101-П12:",'ПО КОРИСНИЦИМА'!$H$3:$H$505)</f>
        <v>0</v>
      </c>
      <c r="E101" s="1105" t="e">
        <f t="shared" si="4"/>
        <v>#DIV/0!</v>
      </c>
      <c r="F101" s="1085">
        <f>SUMIF('ПО КОРИСНИЦИМА'!$G$3:$G$505,"Свега за пројекат 0101-П12:",'ПО КОРИСНИЦИМА'!$I$3:$I$505)</f>
        <v>0</v>
      </c>
      <c r="G101" s="260">
        <f t="shared" si="5"/>
        <v>0</v>
      </c>
      <c r="H101" s="261"/>
    </row>
    <row r="102" spans="1:8" hidden="1">
      <c r="A102" s="92"/>
      <c r="B102" s="91" t="s">
        <v>4108</v>
      </c>
      <c r="C102" s="235" t="str">
        <f>IFERROR(VLOOKUP(B102,'ПО КОРИСНИЦИМА'!$C$3:$J$505,5,FALSE),"")</f>
        <v/>
      </c>
      <c r="D102" s="251">
        <f>SUMIF('ПО КОРИСНИЦИМА'!$G$3:$G$505,"Свега за пројекат 0101-П13:",'ПО КОРИСНИЦИМА'!$H$3:$H$505)</f>
        <v>0</v>
      </c>
      <c r="E102" s="1105" t="e">
        <f t="shared" si="4"/>
        <v>#DIV/0!</v>
      </c>
      <c r="F102" s="1085">
        <f>SUMIF('ПО КОРИСНИЦИМА'!$G$3:$G$505,"Свега за пројекат 0101-П13:",'ПО КОРИСНИЦИМА'!$I$3:$I$505)</f>
        <v>0</v>
      </c>
      <c r="G102" s="260">
        <f t="shared" si="5"/>
        <v>0</v>
      </c>
      <c r="H102" s="261"/>
    </row>
    <row r="103" spans="1:8" hidden="1">
      <c r="A103" s="92"/>
      <c r="B103" s="91" t="s">
        <v>4109</v>
      </c>
      <c r="C103" s="235" t="str">
        <f>IFERROR(VLOOKUP(B103,'ПО КОРИСНИЦИМА'!$C$3:$J$505,5,FALSE),"")</f>
        <v/>
      </c>
      <c r="D103" s="251">
        <f>SUMIF('ПО КОРИСНИЦИМА'!$G$3:$G$505,"Свега за пројекат 0101-П14:",'ПО КОРИСНИЦИМА'!$H$3:$H$505)</f>
        <v>0</v>
      </c>
      <c r="E103" s="1105" t="e">
        <f t="shared" si="4"/>
        <v>#DIV/0!</v>
      </c>
      <c r="F103" s="1085">
        <f>SUMIF('ПО КОРИСНИЦИМА'!$G$3:$G$505,"Свега за пројекат 0101-П14:",'ПО КОРИСНИЦИМА'!$I$3:$I$505)</f>
        <v>0</v>
      </c>
      <c r="G103" s="260">
        <f t="shared" si="5"/>
        <v>0</v>
      </c>
      <c r="H103" s="262"/>
    </row>
    <row r="104" spans="1:8" hidden="1">
      <c r="A104" s="92"/>
      <c r="B104" s="91" t="s">
        <v>4110</v>
      </c>
      <c r="C104" s="235" t="str">
        <f>IFERROR(VLOOKUP(B104,'ПО КОРИСНИЦИМА'!$C$3:$J$505,5,FALSE),"")</f>
        <v/>
      </c>
      <c r="D104" s="251">
        <f>SUMIF('ПО КОРИСНИЦИМА'!$G$3:$G$505,"Свега за пројекат 0101-П15:",'ПО КОРИСНИЦИМА'!$H$3:$H$505)</f>
        <v>0</v>
      </c>
      <c r="E104" s="1105" t="e">
        <f t="shared" si="4"/>
        <v>#DIV/0!</v>
      </c>
      <c r="F104" s="1085">
        <f>SUMIF('ПО КОРИСНИЦИМА'!$G$3:$G$505,"Свега за пројекат 0101-П15:",'ПО КОРИСНИЦИМА'!$I$3:$I$505)</f>
        <v>0</v>
      </c>
      <c r="G104" s="260">
        <f t="shared" si="5"/>
        <v>0</v>
      </c>
      <c r="H104" s="262"/>
    </row>
    <row r="105" spans="1:8" hidden="1">
      <c r="A105" s="208"/>
      <c r="B105" s="91" t="s">
        <v>4111</v>
      </c>
      <c r="C105" s="235" t="str">
        <f>IFERROR(VLOOKUP(B105,'ПО КОРИСНИЦИМА'!$C$3:$J$505,5,FALSE),"")</f>
        <v/>
      </c>
      <c r="D105" s="251">
        <f>SUMIF('ПО КОРИСНИЦИМА'!$G$3:$G$505,"Свега за пројекат 0101-П16:",'ПО КОРИСНИЦИМА'!$H$3:$H$505)</f>
        <v>0</v>
      </c>
      <c r="E105" s="1105" t="e">
        <f t="shared" si="4"/>
        <v>#DIV/0!</v>
      </c>
      <c r="F105" s="1085">
        <f>SUMIF('ПО КОРИСНИЦИМА'!$G$3:$G$505,"Свега за пројекат 0101-П16:",'ПО КОРИСНИЦИМА'!$I$3:$I$505)</f>
        <v>0</v>
      </c>
      <c r="G105" s="260">
        <f t="shared" si="5"/>
        <v>0</v>
      </c>
      <c r="H105" s="263"/>
    </row>
    <row r="106" spans="1:8" s="90" customFormat="1" ht="14.25">
      <c r="A106" s="204" t="s">
        <v>3574</v>
      </c>
      <c r="B106" s="205"/>
      <c r="C106" s="233" t="s">
        <v>3667</v>
      </c>
      <c r="D106" s="255">
        <f>SUM(D107:D123)</f>
        <v>37430000</v>
      </c>
      <c r="E106" s="1110">
        <f t="shared" si="4"/>
        <v>28.658927144002138</v>
      </c>
      <c r="F106" s="445">
        <f>SUM(F107:F123)</f>
        <v>10727036.43</v>
      </c>
      <c r="G106" s="255">
        <f>D106-F106</f>
        <v>26702963.57</v>
      </c>
      <c r="H106" s="256"/>
    </row>
    <row r="107" spans="1:8">
      <c r="A107" s="202"/>
      <c r="B107" s="598" t="s">
        <v>3970</v>
      </c>
      <c r="C107" s="236" t="s">
        <v>4414</v>
      </c>
      <c r="D107" s="258">
        <f>SUMIF('ПО КОРИСНИЦИМА'!$C$3:$C$544,B107,'ПО КОРИСНИЦИМА'!$H$3:$H$544)</f>
        <v>2000000</v>
      </c>
      <c r="E107" s="1109">
        <f t="shared" si="4"/>
        <v>55.35</v>
      </c>
      <c r="F107" s="353">
        <f>SUMIF('ПО КОРИСНИЦИМА'!$C$3:$C$544,B107,'ПО КОРИСНИЦИМА'!$I$3:$I$544)</f>
        <v>1107000</v>
      </c>
      <c r="G107" s="258">
        <f>D107-F107</f>
        <v>893000</v>
      </c>
      <c r="H107" s="259"/>
    </row>
    <row r="108" spans="1:8" hidden="1">
      <c r="A108" s="202"/>
      <c r="B108" s="599" t="s">
        <v>3971</v>
      </c>
      <c r="C108" s="236" t="s">
        <v>3974</v>
      </c>
      <c r="D108" s="258">
        <f>SUMIF('ПО КОРИСНИЦИМА'!$C$3:$C$544,B108,'ПО КОРИСНИЦИМА'!$H$3:$H$544)</f>
        <v>0</v>
      </c>
      <c r="E108" s="1109" t="e">
        <f t="shared" si="4"/>
        <v>#DIV/0!</v>
      </c>
      <c r="F108" s="353">
        <f>SUMIF('ПО КОРИСНИЦИМА'!$C$3:$C$544,B108,'ПО КОРИСНИЦИМА'!$I$3:$I$544)</f>
        <v>0</v>
      </c>
      <c r="G108" s="258">
        <f t="shared" ref="G108:G114" si="6">D108-F108</f>
        <v>0</v>
      </c>
      <c r="H108" s="259"/>
    </row>
    <row r="109" spans="1:8" hidden="1">
      <c r="A109" s="202"/>
      <c r="B109" s="599" t="s">
        <v>3973</v>
      </c>
      <c r="C109" s="236" t="s">
        <v>4381</v>
      </c>
      <c r="D109" s="258">
        <f>SUMIF('ПО КОРИСНИЦИМА'!$C$3:$C$544,B109,'ПО КОРИСНИЦИМА'!$H$3:$H$544)</f>
        <v>0</v>
      </c>
      <c r="E109" s="1109" t="e">
        <f t="shared" si="4"/>
        <v>#DIV/0!</v>
      </c>
      <c r="F109" s="353">
        <f>SUMIF('ПО КОРИСНИЦИМА'!$C$3:$C$544,B109,'ПО КОРИСНИЦИМА'!$I$3:$I$544)</f>
        <v>0</v>
      </c>
      <c r="G109" s="258">
        <f t="shared" si="6"/>
        <v>0</v>
      </c>
      <c r="H109" s="259"/>
    </row>
    <row r="110" spans="1:8">
      <c r="A110" s="202"/>
      <c r="B110" s="598" t="s">
        <v>4380</v>
      </c>
      <c r="C110" s="236" t="s">
        <v>177</v>
      </c>
      <c r="D110" s="258">
        <f>SUMIF('ПО КОРИСНИЦИМА'!$C$3:$C$544,B110,'ПО КОРИСНИЦИМА'!$H$3:$H$544)</f>
        <v>4800000</v>
      </c>
      <c r="E110" s="1109">
        <f t="shared" si="4"/>
        <v>2.8083333333333331</v>
      </c>
      <c r="F110" s="353">
        <f>SUMIF('ПО КОРИСНИЦИМА'!$C$3:$C$544,B110,'ПО КОРИСНИЦИМА'!$I$3:$I$544)</f>
        <v>134800</v>
      </c>
      <c r="G110" s="258">
        <f t="shared" si="6"/>
        <v>4665200</v>
      </c>
      <c r="H110" s="259"/>
    </row>
    <row r="111" spans="1:8">
      <c r="A111" s="202"/>
      <c r="B111" s="599" t="s">
        <v>4383</v>
      </c>
      <c r="C111" s="236" t="s">
        <v>3972</v>
      </c>
      <c r="D111" s="258">
        <f>SUMIF('ПО КОРИСНИЦИМА'!$C$3:$C$544,B111,'ПО КОРИСНИЦИМА'!$H$3:$H$544)</f>
        <v>14530000</v>
      </c>
      <c r="E111" s="1109">
        <f t="shared" si="4"/>
        <v>65.280360839642114</v>
      </c>
      <c r="F111" s="353">
        <f>SUMIF('ПО КОРИСНИЦИМА'!$C$3:$C$544,B111,'ПО КОРИСНИЦИМА'!$I$3:$I$544)</f>
        <v>9485236.4299999997</v>
      </c>
      <c r="G111" s="258">
        <f t="shared" si="6"/>
        <v>5044763.57</v>
      </c>
      <c r="H111" s="259"/>
    </row>
    <row r="112" spans="1:8" hidden="1">
      <c r="A112" s="88"/>
      <c r="B112" s="599" t="s">
        <v>4413</v>
      </c>
      <c r="C112" s="237" t="s">
        <v>4415</v>
      </c>
      <c r="D112" s="258">
        <f>SUMIF('ПО КОРИСНИЦИМА'!$C$3:$C$544,B112,'ПО КОРИСНИЦИМА'!$H$3:$H$544)</f>
        <v>0</v>
      </c>
      <c r="E112" s="1109" t="e">
        <f t="shared" si="4"/>
        <v>#DIV/0!</v>
      </c>
      <c r="F112" s="353">
        <f>SUMIF('ПО КОРИСНИЦИМА'!$C$3:$C$544,B112,'ПО КОРИСНИЦИМА'!$I$3:$I$544)</f>
        <v>0</v>
      </c>
      <c r="G112" s="258">
        <f t="shared" si="6"/>
        <v>0</v>
      </c>
      <c r="H112" s="262"/>
    </row>
    <row r="113" spans="1:8" ht="42" customHeight="1">
      <c r="A113" s="88"/>
      <c r="B113" s="598" t="s">
        <v>4382</v>
      </c>
      <c r="C113" s="523" t="s">
        <v>4479</v>
      </c>
      <c r="D113" s="258">
        <f>SUMIF('ПО КОРИСНИЦИМА'!$C$3:$C$544,B113,'ПО КОРИСНИЦИМА'!$H$3:$H$544)</f>
        <v>12000000</v>
      </c>
      <c r="E113" s="1109">
        <f t="shared" si="4"/>
        <v>0</v>
      </c>
      <c r="F113" s="353">
        <f>SUMIF('ПО КОРИСНИЦИМА'!$C$3:$C$544,B113,'ПО КОРИСНИЦИМА'!$I$3:$I$544)</f>
        <v>0</v>
      </c>
      <c r="G113" s="258">
        <f t="shared" si="6"/>
        <v>12000000</v>
      </c>
      <c r="H113" s="262"/>
    </row>
    <row r="114" spans="1:8" ht="26.25">
      <c r="A114" s="88"/>
      <c r="B114" s="599" t="s">
        <v>4498</v>
      </c>
      <c r="C114" s="525" t="str">
        <f>IFERROR(VLOOKUP(B114,'ПО КОРИСНИЦИМА'!$C$3:$J$505,5,FALSE),"")</f>
        <v>Пројекат "Прекогранична сарадња, управљање животном средином у области отпадних вода"</v>
      </c>
      <c r="D114" s="258">
        <f>SUMIF('ПО КОРИСНИЦИМА'!$C$3:$C$544,B114,'ПО КОРИСНИЦИМА'!$H$3:$H$544)</f>
        <v>4100000</v>
      </c>
      <c r="E114" s="1109">
        <f t="shared" si="4"/>
        <v>0</v>
      </c>
      <c r="F114" s="353">
        <f>SUMIF('ПО КОРИСНИЦИМА'!$C$3:$C$544,B114,'ПО КОРИСНИЦИМА'!$I$3:$I$544)</f>
        <v>0</v>
      </c>
      <c r="G114" s="258">
        <f t="shared" si="6"/>
        <v>4100000</v>
      </c>
      <c r="H114" s="261"/>
    </row>
    <row r="115" spans="1:8" hidden="1">
      <c r="A115" s="88"/>
      <c r="B115" s="599" t="s">
        <v>4499</v>
      </c>
      <c r="C115" s="235" t="str">
        <f>IFERROR(VLOOKUP(B115,'ПО КОРИСНИЦИМА'!$C$3:$J$505,5,FALSE),"")</f>
        <v/>
      </c>
      <c r="D115" s="251">
        <f>SUMIF('ПО КОРИСНИЦИМА'!$G$3:$G$505,"Свега за пројекат 0401-П7:",'ПО КОРИСНИЦИМА'!$H$3:$H$505)</f>
        <v>0</v>
      </c>
      <c r="E115" s="1105" t="e">
        <f t="shared" si="4"/>
        <v>#DIV/0!</v>
      </c>
      <c r="F115" s="1085">
        <f>SUMIF('ПО КОРИСНИЦИМА'!$G$3:$G$505,"Свега за пројекат 0401-П7:",'ПО КОРИСНИЦИМА'!$I$3:$I$505)</f>
        <v>0</v>
      </c>
      <c r="G115" s="260">
        <f t="shared" si="1"/>
        <v>0</v>
      </c>
      <c r="H115" s="261"/>
    </row>
    <row r="116" spans="1:8" hidden="1">
      <c r="A116" s="88"/>
      <c r="B116" s="599" t="s">
        <v>4500</v>
      </c>
      <c r="C116" s="235" t="str">
        <f>IFERROR(VLOOKUP(B116,'ПО КОРИСНИЦИМА'!$C$3:$J$505,5,FALSE),"")</f>
        <v/>
      </c>
      <c r="D116" s="251">
        <f>SUMIF('ПО КОРИСНИЦИМА'!$G$3:$G$505,"Свега за пројекат 0401-П8:",'ПО КОРИСНИЦИМА'!$H$3:$H$505)</f>
        <v>0</v>
      </c>
      <c r="E116" s="1105" t="e">
        <f t="shared" si="4"/>
        <v>#DIV/0!</v>
      </c>
      <c r="F116" s="1085">
        <f>SUMIF('ПО КОРИСНИЦИМА'!$G$3:$G$505,"Свега за пројекат 0401-П8:",'ПО КОРИСНИЦИМА'!$I$3:$I$505)</f>
        <v>0</v>
      </c>
      <c r="G116" s="260">
        <f t="shared" si="1"/>
        <v>0</v>
      </c>
      <c r="H116" s="261"/>
    </row>
    <row r="117" spans="1:8" hidden="1">
      <c r="A117" s="88"/>
      <c r="B117" s="599" t="s">
        <v>4501</v>
      </c>
      <c r="C117" s="235" t="str">
        <f>IFERROR(VLOOKUP(B117,'ПО КОРИСНИЦИМА'!$C$3:$J$505,5,FALSE),"")</f>
        <v/>
      </c>
      <c r="D117" s="251">
        <f>SUMIF('ПО КОРИСНИЦИМА'!$G$3:$G$505,"Свега за пројекат 0401-П9:",'ПО КОРИСНИЦИМА'!$H$3:$H$505)</f>
        <v>0</v>
      </c>
      <c r="E117" s="1105" t="e">
        <f t="shared" si="4"/>
        <v>#DIV/0!</v>
      </c>
      <c r="F117" s="1085">
        <f>SUMIF('ПО КОРИСНИЦИМА'!$G$3:$G$505,"Свега за пројекат 0401-П9:",'ПО КОРИСНИЦИМА'!$I$3:$I$505)</f>
        <v>0</v>
      </c>
      <c r="G117" s="260">
        <f t="shared" si="1"/>
        <v>0</v>
      </c>
      <c r="H117" s="261"/>
    </row>
    <row r="118" spans="1:8" hidden="1">
      <c r="A118" s="88"/>
      <c r="B118" s="599" t="s">
        <v>4112</v>
      </c>
      <c r="C118" s="235" t="str">
        <f>IFERROR(VLOOKUP(B118,'ПО КОРИСНИЦИМА'!$C$3:$J$505,5,FALSE),"")</f>
        <v/>
      </c>
      <c r="D118" s="251">
        <f>SUMIF('ПО КОРИСНИЦИМА'!$G$3:$G$505,"Свега за пројекат 0401-П10:",'ПО КОРИСНИЦИМА'!$H$3:$H$505)</f>
        <v>0</v>
      </c>
      <c r="E118" s="1105" t="e">
        <f t="shared" si="4"/>
        <v>#DIV/0!</v>
      </c>
      <c r="F118" s="1085">
        <f>SUMIF('ПО КОРИСНИЦИМА'!$G$3:$G$505,"Свега за пројекат 0401-П10:",'ПО КОРИСНИЦИМА'!$I$3:$I$505)</f>
        <v>0</v>
      </c>
      <c r="G118" s="260">
        <f t="shared" si="1"/>
        <v>0</v>
      </c>
      <c r="H118" s="261"/>
    </row>
    <row r="119" spans="1:8" hidden="1">
      <c r="A119" s="88"/>
      <c r="B119" s="599" t="s">
        <v>4113</v>
      </c>
      <c r="C119" s="235" t="str">
        <f>IFERROR(VLOOKUP(B119,'ПО КОРИСНИЦИМА'!$C$3:$J$505,5,FALSE),"")</f>
        <v/>
      </c>
      <c r="D119" s="251">
        <f>SUMIF('ПО КОРИСНИЦИМА'!$G$3:$G$505,"Свега за пројекат 0401-П11:",'ПО КОРИСНИЦИМА'!$H$3:$H$505)</f>
        <v>0</v>
      </c>
      <c r="E119" s="1105" t="e">
        <f t="shared" si="4"/>
        <v>#DIV/0!</v>
      </c>
      <c r="F119" s="1085">
        <f>SUMIF('ПО КОРИСНИЦИМА'!$G$3:$G$505,"Свега за пројекат 0401-П11:",'ПО КОРИСНИЦИМА'!$I$3:$I$505)</f>
        <v>0</v>
      </c>
      <c r="G119" s="260">
        <f t="shared" si="1"/>
        <v>0</v>
      </c>
      <c r="H119" s="261"/>
    </row>
    <row r="120" spans="1:8" hidden="1">
      <c r="A120" s="88"/>
      <c r="B120" s="599" t="s">
        <v>4114</v>
      </c>
      <c r="C120" s="235" t="str">
        <f>IFERROR(VLOOKUP(B120,'ПО КОРИСНИЦИМА'!$C$3:$J$505,5,FALSE),"")</f>
        <v/>
      </c>
      <c r="D120" s="251">
        <f>SUMIF('ПО КОРИСНИЦИМА'!$G$3:$G$505,"Свега за пројекат 0401-П12:",'ПО КОРИСНИЦИМА'!$H$3:$H$505)</f>
        <v>0</v>
      </c>
      <c r="E120" s="1105" t="e">
        <f t="shared" si="4"/>
        <v>#DIV/0!</v>
      </c>
      <c r="F120" s="1085">
        <f>SUMIF('ПО КОРИСНИЦИМА'!$G$3:$G$505,"Свега за пројекат 0401-П12:",'ПО КОРИСНИЦИМА'!$I$3:$I$505)</f>
        <v>0</v>
      </c>
      <c r="G120" s="260">
        <f t="shared" si="1"/>
        <v>0</v>
      </c>
      <c r="H120" s="262"/>
    </row>
    <row r="121" spans="1:8" hidden="1">
      <c r="A121" s="88"/>
      <c r="B121" s="599" t="s">
        <v>4115</v>
      </c>
      <c r="C121" s="235" t="str">
        <f>IFERROR(VLOOKUP(B121,'ПО КОРИСНИЦИМА'!$C$3:$J$505,5,FALSE),"")</f>
        <v/>
      </c>
      <c r="D121" s="251">
        <f>SUMIF('ПО КОРИСНИЦИМА'!$G$3:$G$505,"Свега за пројекат 0401-П13:",'ПО КОРИСНИЦИМА'!$H$3:$H$505)</f>
        <v>0</v>
      </c>
      <c r="E121" s="1105" t="e">
        <f t="shared" si="4"/>
        <v>#DIV/0!</v>
      </c>
      <c r="F121" s="1085">
        <f>SUMIF('ПО КОРИСНИЦИМА'!$G$3:$G$505,"Свега за пројекат 0401-П13:",'ПО КОРИСНИЦИМА'!$I$3:$I$505)</f>
        <v>0</v>
      </c>
      <c r="G121" s="260">
        <f t="shared" si="1"/>
        <v>0</v>
      </c>
      <c r="H121" s="262"/>
    </row>
    <row r="122" spans="1:8" hidden="1">
      <c r="A122" s="88"/>
      <c r="B122" s="599" t="s">
        <v>4116</v>
      </c>
      <c r="C122" s="235" t="str">
        <f>IFERROR(VLOOKUP(B122,'ПО КОРИСНИЦИМА'!$C$3:$J$505,5,FALSE),"")</f>
        <v/>
      </c>
      <c r="D122" s="251">
        <f>SUMIF('ПО КОРИСНИЦИМА'!$G$3:$G$505,"Свега за пројекат 0401-П14:",'ПО КОРИСНИЦИМА'!$H$3:$H$505)</f>
        <v>0</v>
      </c>
      <c r="E122" s="1105" t="e">
        <f t="shared" si="4"/>
        <v>#DIV/0!</v>
      </c>
      <c r="F122" s="1085">
        <f>SUMIF('ПО КОРИСНИЦИМА'!$G$3:$G$505,"Свега за пројекат 0401-П14:",'ПО КОРИСНИЦИМА'!$I$3:$I$505)</f>
        <v>0</v>
      </c>
      <c r="G122" s="260">
        <f t="shared" si="1"/>
        <v>0</v>
      </c>
      <c r="H122" s="262"/>
    </row>
    <row r="123" spans="1:8" hidden="1">
      <c r="A123" s="208"/>
      <c r="B123" s="599" t="s">
        <v>4117</v>
      </c>
      <c r="C123" s="235" t="str">
        <f>IFERROR(VLOOKUP(B123,'ПО КОРИСНИЦИМА'!$C$3:$J$505,5,FALSE),"")</f>
        <v/>
      </c>
      <c r="D123" s="251">
        <f>SUMIF('ПО КОРИСНИЦИМА'!$G$3:$G$505,"Свега за пројекат 0401-П15:",'ПО КОРИСНИЦИМА'!$H$3:$H$505)</f>
        <v>0</v>
      </c>
      <c r="E123" s="1105" t="e">
        <f t="shared" si="4"/>
        <v>#DIV/0!</v>
      </c>
      <c r="F123" s="1085">
        <f>SUMIF('ПО КОРИСНИЦИМА'!$G$3:$G$505,"Свега за пројекат 0401-П15:",'ПО КОРИСНИЦИМА'!$I$3:$I$505)</f>
        <v>0</v>
      </c>
      <c r="G123" s="260">
        <f>D123+F123</f>
        <v>0</v>
      </c>
      <c r="H123" s="263"/>
    </row>
    <row r="124" spans="1:8" s="90" customFormat="1" ht="27.75" customHeight="1">
      <c r="A124" s="204" t="s">
        <v>3577</v>
      </c>
      <c r="B124" s="205"/>
      <c r="C124" s="524" t="s">
        <v>4416</v>
      </c>
      <c r="D124" s="255">
        <f>SUM(D125:D147)</f>
        <v>105900000</v>
      </c>
      <c r="E124" s="1110">
        <f t="shared" si="4"/>
        <v>21.463274900849861</v>
      </c>
      <c r="F124" s="445">
        <f>SUM(F125:F147)</f>
        <v>22729608.120000001</v>
      </c>
      <c r="G124" s="254">
        <f>D124-F124</f>
        <v>83170391.879999995</v>
      </c>
      <c r="H124" s="256"/>
    </row>
    <row r="125" spans="1:8" ht="25.5">
      <c r="A125" s="202"/>
      <c r="B125" s="207" t="s">
        <v>4006</v>
      </c>
      <c r="C125" s="526" t="s">
        <v>4502</v>
      </c>
      <c r="D125" s="258">
        <f>SUMIF('ПО КОРИСНИЦИМА'!$C$3:$C$544,B125,'ПО КОРИСНИЦИМА'!$H$3:$H$544)</f>
        <v>10500000</v>
      </c>
      <c r="E125" s="1109">
        <f t="shared" si="4"/>
        <v>25.445494095238093</v>
      </c>
      <c r="F125" s="353">
        <f>SUMIF('ПО КОРИСНИЦИМА'!$C$3:$C$544,B125,'ПО КОРИСНИЦИМА'!$I$3:$I$544)</f>
        <v>2671776.88</v>
      </c>
      <c r="G125" s="258">
        <f>D125+F125</f>
        <v>13171776.879999999</v>
      </c>
      <c r="H125" s="259"/>
    </row>
    <row r="126" spans="1:8">
      <c r="A126" s="88"/>
      <c r="B126" s="91" t="s">
        <v>4048</v>
      </c>
      <c r="C126" s="240" t="s">
        <v>4469</v>
      </c>
      <c r="D126" s="258">
        <f>SUMIF('ПО КОРИСНИЦИМА'!$C$3:$C$544,B126,'ПО КОРИСНИЦИМА'!$H$3:$H$544)</f>
        <v>22500000</v>
      </c>
      <c r="E126" s="1109">
        <f t="shared" si="4"/>
        <v>64.748529022222229</v>
      </c>
      <c r="F126" s="353">
        <f>SUMIF('ПО КОРИСНИЦИМА'!$C$3:$C$544,B126,'ПО КОРИСНИЦИМА'!$I$3:$I$544)</f>
        <v>14568419.030000001</v>
      </c>
      <c r="G126" s="258">
        <f t="shared" ref="G126:G135" si="7">D126+F126</f>
        <v>37068419.030000001</v>
      </c>
      <c r="H126" s="262"/>
    </row>
    <row r="127" spans="1:8" hidden="1">
      <c r="A127" s="88"/>
      <c r="B127" s="91" t="s">
        <v>4503</v>
      </c>
      <c r="C127" s="240" t="s">
        <v>4504</v>
      </c>
      <c r="D127" s="258">
        <f>SUMIF('ПО КОРИСНИЦИМА'!$C$3:$C$544,B127,'ПО КОРИСНИЦИМА'!$H$3:$H$544)</f>
        <v>0</v>
      </c>
      <c r="E127" s="1109" t="e">
        <f t="shared" si="4"/>
        <v>#DIV/0!</v>
      </c>
      <c r="F127" s="353">
        <f>SUMIF('ПО КОРИСНИЦИМА'!$C$3:$C$544,B127,'ПО КОРИСНИЦИМА'!$I$3:$I$544)</f>
        <v>0</v>
      </c>
      <c r="G127" s="258">
        <f t="shared" si="7"/>
        <v>0</v>
      </c>
      <c r="H127" s="261"/>
    </row>
    <row r="128" spans="1:8" ht="26.25" customHeight="1">
      <c r="A128" s="92"/>
      <c r="B128" s="207" t="s">
        <v>4118</v>
      </c>
      <c r="C128" s="525" t="str">
        <f>IFERROR(VLOOKUP(B128,'ПО КОРИСНИЦИМА'!$C$3:$J$505,5,FALSE),"")</f>
        <v>Пројекат "Изградња дела Београдске улице</v>
      </c>
      <c r="D128" s="258">
        <f>SUMIF('ПО КОРИСНИЦИМА'!$C$3:$C$544,B128,'ПО КОРИСНИЦИМА'!$H$3:$H$544)</f>
        <v>4500000</v>
      </c>
      <c r="E128" s="1109">
        <f t="shared" si="4"/>
        <v>0</v>
      </c>
      <c r="F128" s="353">
        <f>SUMIF('ПО КОРИСНИЦИМА'!$C$3:$C$544,B128,'ПО КОРИСНИЦИМА'!$I$3:$I$544)</f>
        <v>0</v>
      </c>
      <c r="G128" s="258">
        <f t="shared" si="7"/>
        <v>4500000</v>
      </c>
      <c r="H128" s="261"/>
    </row>
    <row r="129" spans="1:8">
      <c r="A129" s="92"/>
      <c r="B129" s="92" t="s">
        <v>4362</v>
      </c>
      <c r="C129" s="525" t="str">
        <f>IFERROR(VLOOKUP(B129,'ПО КОРИСНИЦИМА'!$C$3:$J$505,5,FALSE),"")</f>
        <v>Пројекат "Изградња дела Карађорђеве улице</v>
      </c>
      <c r="D129" s="258">
        <f>SUMIF('ПО КОРИСНИЦИМА'!$C$3:$C$544,B129,'ПО КОРИСНИЦИМА'!$H$3:$H$544)</f>
        <v>9000000</v>
      </c>
      <c r="E129" s="1109">
        <f t="shared" si="4"/>
        <v>0</v>
      </c>
      <c r="F129" s="353">
        <f>SUMIF('ПО КОРИСНИЦИМА'!$C$3:$C$544,B129,'ПО КОРИСНИЦИМА'!$I$3:$I$544)</f>
        <v>0</v>
      </c>
      <c r="G129" s="258">
        <f t="shared" si="7"/>
        <v>9000000</v>
      </c>
      <c r="H129" s="261"/>
    </row>
    <row r="130" spans="1:8" ht="27.75" customHeight="1">
      <c r="A130" s="92"/>
      <c r="B130" s="207" t="s">
        <v>4577</v>
      </c>
      <c r="C130" s="525" t="str">
        <f>IFERROR(VLOOKUP(B130,'ПО КОРИСНИЦИМА'!$C$3:$J$505,5,FALSE),"")</f>
        <v>Пројекат "Изградња дела  улице Јована Јовановића Змаја</v>
      </c>
      <c r="D130" s="258">
        <f>SUMIF('ПО КОРИСНИЦИМА'!$C$3:$C$544,B130,'ПО КОРИСНИЦИМА'!$H$3:$H$544)</f>
        <v>4150000</v>
      </c>
      <c r="E130" s="1109">
        <f t="shared" si="4"/>
        <v>0</v>
      </c>
      <c r="F130" s="353">
        <f>SUMIF('ПО КОРИСНИЦИМА'!$C$3:$C$544,B130,'ПО КОРИСНИЦИМА'!$I$3:$I$544)</f>
        <v>0</v>
      </c>
      <c r="G130" s="258">
        <f t="shared" si="7"/>
        <v>4150000</v>
      </c>
      <c r="H130" s="261"/>
    </row>
    <row r="131" spans="1:8" ht="25.5" customHeight="1">
      <c r="A131" s="92"/>
      <c r="B131" s="92" t="s">
        <v>4578</v>
      </c>
      <c r="C131" s="525" t="str">
        <f>IFERROR(VLOOKUP(B131,'ПО КОРИСНИЦИМА'!$C$3:$J$505,5,FALSE),"")</f>
        <v>Пројекат "реконструкција локалног некатегорисаног пута у МЗ Прекодолце</v>
      </c>
      <c r="D131" s="258">
        <f>SUMIF('ПО КОРИСНИЦИМА'!$C$3:$C$544,B131,'ПО КОРИСНИЦИМА'!$H$3:$H$544)</f>
        <v>6200000</v>
      </c>
      <c r="E131" s="1109">
        <f t="shared" si="4"/>
        <v>56.070565806451611</v>
      </c>
      <c r="F131" s="353">
        <f>SUMIF('ПО КОРИСНИЦИМА'!$C$3:$C$544,B131,'ПО КОРИСНИЦИМА'!$I$3:$I$544)</f>
        <v>3476375.08</v>
      </c>
      <c r="G131" s="258">
        <f t="shared" si="7"/>
        <v>9676375.0800000001</v>
      </c>
      <c r="H131" s="261"/>
    </row>
    <row r="132" spans="1:8" ht="26.25" customHeight="1">
      <c r="A132" s="92"/>
      <c r="B132" s="207" t="s">
        <v>4447</v>
      </c>
      <c r="C132" s="525" t="str">
        <f>IFERROR(VLOOKUP(B132,'ПО КОРИСНИЦИМА'!$C$3:$J$505,5,FALSE),"")</f>
        <v>Пројекат "Рехабилитација локалног пута Брестово - Јагњило и реконструкција Београдске улице"</v>
      </c>
      <c r="D132" s="258">
        <f>SUMIF('ПО КОРИСНИЦИМА'!$C$3:$C$544,B132,'ПО КОРИСНИЦИМА'!$H$3:$H$544)</f>
        <v>2050000</v>
      </c>
      <c r="E132" s="1109">
        <f t="shared" si="4"/>
        <v>98.196933170731711</v>
      </c>
      <c r="F132" s="353">
        <f>SUMIF('ПО КОРИСНИЦИМА'!$C$3:$C$544,B132,'ПО КОРИСНИЦИМА'!$I$3:$I$544)</f>
        <v>2013037.13</v>
      </c>
      <c r="G132" s="258">
        <f t="shared" si="7"/>
        <v>4063037.13</v>
      </c>
      <c r="H132" s="261"/>
    </row>
    <row r="133" spans="1:8" ht="26.25">
      <c r="A133" s="92"/>
      <c r="B133" s="92" t="s">
        <v>4119</v>
      </c>
      <c r="C133" s="525" t="str">
        <f>IFERROR(VLOOKUP(B133,'ПО КОРИСНИЦИМА'!$C$3:$J$505,5,FALSE),"")</f>
        <v>Пројекат "Рехабилитација локалних путних праваца у МЗ Житорађе</v>
      </c>
      <c r="D133" s="258">
        <f>SUMIF('ПО КОРИСНИЦИМА'!$C$3:$C$544,B133,'ПО КОРИСНИЦИМА'!$H$3:$H$544)</f>
        <v>1000000</v>
      </c>
      <c r="E133" s="1109">
        <f t="shared" si="4"/>
        <v>0</v>
      </c>
      <c r="F133" s="353">
        <f>SUMIF('ПО КОРИСНИЦИМА'!$C$3:$C$544,B133,'ПО КОРИСНИЦИМА'!$I$3:$I$544)</f>
        <v>0</v>
      </c>
      <c r="G133" s="258">
        <f t="shared" si="7"/>
        <v>1000000</v>
      </c>
      <c r="H133" s="261"/>
    </row>
    <row r="134" spans="1:8" ht="26.25">
      <c r="A134" s="92"/>
      <c r="B134" s="207" t="s">
        <v>4120</v>
      </c>
      <c r="C134" s="525" t="str">
        <f>IFERROR(VLOOKUP(B134,'ПО КОРИСНИЦИМА'!$C$3:$J$505,5,FALSE),"")</f>
        <v>Пројекат "Реконструкција локалног некатегорисаног  пута у МЗ Летовиште</v>
      </c>
      <c r="D134" s="258">
        <f>SUMIF('ПО КОРИСНИЦИМА'!$C$3:$C$544,B134,'ПО КОРИСНИЦИМА'!$H$3:$H$544)</f>
        <v>26000000</v>
      </c>
      <c r="E134" s="1109">
        <f t="shared" ref="E134:E197" si="8">F134/D134*100</f>
        <v>0</v>
      </c>
      <c r="F134" s="353">
        <f>SUMIF('ПО КОРИСНИЦИМА'!$C$3:$C$544,B134,'ПО КОРИСНИЦИМА'!$I$3:$I$544)</f>
        <v>0</v>
      </c>
      <c r="G134" s="258">
        <f t="shared" si="7"/>
        <v>26000000</v>
      </c>
      <c r="H134" s="261"/>
    </row>
    <row r="135" spans="1:8">
      <c r="A135" s="92"/>
      <c r="B135" s="92" t="s">
        <v>4121</v>
      </c>
      <c r="C135" s="525" t="str">
        <f>IFERROR(VLOOKUP(B135,'ПО КОРИСНИЦИМА'!$C$3:$J$505,5,FALSE),"")</f>
        <v>Пројекат "Реконструкција локалног пута у МЗ Љутеж"</v>
      </c>
      <c r="D135" s="258">
        <f>SUMIF('ПО КОРИСНИЦИМА'!$C$3:$C$544,B135,'ПО КОРИСНИЦИМА'!$H$3:$H$544)</f>
        <v>20000000</v>
      </c>
      <c r="E135" s="1109">
        <f t="shared" si="8"/>
        <v>0</v>
      </c>
      <c r="F135" s="353">
        <f>SUMIF('ПО КОРИСНИЦИМА'!$C$3:$C$544,B135,'ПО КОРИСНИЦИМА'!$I$3:$I$544)</f>
        <v>0</v>
      </c>
      <c r="G135" s="258">
        <f t="shared" si="7"/>
        <v>20000000</v>
      </c>
      <c r="H135" s="261"/>
    </row>
    <row r="136" spans="1:8" hidden="1">
      <c r="A136" s="92"/>
      <c r="B136" s="207" t="s">
        <v>4122</v>
      </c>
      <c r="C136" s="525" t="str">
        <f>IFERROR(VLOOKUP(B136,'ПО КОРИСНИЦИМА'!$C$3:$J$505,5,FALSE),"")</f>
        <v/>
      </c>
      <c r="D136" s="258">
        <f>SUMIF('ПО КОРИСНИЦИМА'!$C$3:$C$544,B136,'ПО КОРИСНИЦИМА'!$H$3:$H$544)</f>
        <v>0</v>
      </c>
      <c r="E136" s="1105" t="e">
        <f t="shared" si="8"/>
        <v>#DIV/0!</v>
      </c>
      <c r="F136" s="353">
        <f>SUMIF('ПО КОРИСНИЦИМА'!$C$3:$C$544,B136,'ПО КОРИСНИЦИМА'!$I$3:$I$544)</f>
        <v>0</v>
      </c>
      <c r="G136" s="258">
        <f t="shared" ref="G136:G318" si="9">D136+F136</f>
        <v>0</v>
      </c>
      <c r="H136" s="261"/>
    </row>
    <row r="137" spans="1:8" ht="26.25" hidden="1" customHeight="1">
      <c r="A137" s="92"/>
      <c r="B137" s="92" t="s">
        <v>4123</v>
      </c>
      <c r="C137" s="525" t="str">
        <f>IFERROR(VLOOKUP(B137,'ПО КОРИСНИЦИМА'!$C$3:$J$505,5,FALSE),"")</f>
        <v/>
      </c>
      <c r="D137" s="258">
        <f>SUMIF('ПО КОРИСНИЦИМА'!$C$3:$C$544,B137,'ПО КОРИСНИЦИМА'!$H$3:$H$544)</f>
        <v>0</v>
      </c>
      <c r="E137" s="1105" t="e">
        <f t="shared" si="8"/>
        <v>#DIV/0!</v>
      </c>
      <c r="F137" s="353">
        <f>SUMIF('ПО КОРИСНИЦИМА'!$C$3:$C$544,B137,'ПО КОРИСНИЦИМА'!$I$3:$I$544)</f>
        <v>0</v>
      </c>
      <c r="G137" s="260">
        <f t="shared" si="9"/>
        <v>0</v>
      </c>
      <c r="H137" s="261"/>
    </row>
    <row r="138" spans="1:8" hidden="1">
      <c r="A138" s="92"/>
      <c r="B138" s="207" t="s">
        <v>4124</v>
      </c>
      <c r="C138" s="525" t="str">
        <f>IFERROR(VLOOKUP(B138,'ПО КОРИСНИЦИМА'!$C$3:$J$505,5,FALSE),"")</f>
        <v/>
      </c>
      <c r="D138" s="258">
        <f>SUMIF('ПО КОРИСНИЦИМА'!$C$3:$C$544,B138,'ПО КОРИСНИЦИМА'!$H$3:$H$544)</f>
        <v>0</v>
      </c>
      <c r="E138" s="1105" t="e">
        <f t="shared" si="8"/>
        <v>#DIV/0!</v>
      </c>
      <c r="F138" s="353">
        <f>SUMIF('ПО КОРИСНИЦИМА'!$C$3:$C$544,B138,'ПО КОРИСНИЦИМА'!$I$3:$I$544)</f>
        <v>0</v>
      </c>
      <c r="G138" s="258">
        <f t="shared" si="9"/>
        <v>0</v>
      </c>
      <c r="H138" s="261"/>
    </row>
    <row r="139" spans="1:8" hidden="1">
      <c r="A139" s="92"/>
      <c r="B139" s="92" t="s">
        <v>4125</v>
      </c>
      <c r="C139" s="235" t="str">
        <f>IFERROR(VLOOKUP(B139,'ПО КОРИСНИЦИМА'!$C$3:$J$505,5,FALSE),"")</f>
        <v/>
      </c>
      <c r="D139" s="258">
        <f>SUMIF('ПО КОРИСНИЦИМА'!$C$3:$C$544,B139,'ПО КОРИСНИЦИМА'!$H$3:$H$544)</f>
        <v>0</v>
      </c>
      <c r="E139" s="1105" t="e">
        <f t="shared" si="8"/>
        <v>#DIV/0!</v>
      </c>
      <c r="F139" s="353">
        <f>SUMIF('ПО КОРИСНИЦИМА'!$C$3:$C$544,B139,'ПО КОРИСНИЦИМА'!$I$3:$I$544)</f>
        <v>0</v>
      </c>
      <c r="G139" s="260">
        <f t="shared" si="9"/>
        <v>0</v>
      </c>
      <c r="H139" s="261"/>
    </row>
    <row r="140" spans="1:8" hidden="1">
      <c r="A140" s="92"/>
      <c r="B140" s="207" t="s">
        <v>4126</v>
      </c>
      <c r="C140" s="235" t="str">
        <f>IFERROR(VLOOKUP(B140,'ПО КОРИСНИЦИМА'!$C$3:$J$505,5,FALSE),"")</f>
        <v/>
      </c>
      <c r="D140" s="258">
        <f>SUMIF('ПО КОРИСНИЦИМА'!$C$3:$C$544,B140,'ПО КОРИСНИЦИМА'!$H$3:$H$544)</f>
        <v>0</v>
      </c>
      <c r="E140" s="1105" t="e">
        <f t="shared" si="8"/>
        <v>#DIV/0!</v>
      </c>
      <c r="F140" s="353">
        <f>SUMIF('ПО КОРИСНИЦИМА'!$C$3:$C$544,B140,'ПО КОРИСНИЦИМА'!$I$3:$I$544)</f>
        <v>0</v>
      </c>
      <c r="G140" s="258">
        <f t="shared" si="9"/>
        <v>0</v>
      </c>
      <c r="H140" s="261"/>
    </row>
    <row r="141" spans="1:8" hidden="1">
      <c r="A141" s="92"/>
      <c r="B141" s="92" t="s">
        <v>4127</v>
      </c>
      <c r="C141" s="235" t="str">
        <f>IFERROR(VLOOKUP(B141,'ПО КОРИСНИЦИМА'!$C$3:$J$505,5,FALSE),"")</f>
        <v/>
      </c>
      <c r="D141" s="258">
        <f>SUMIF('ПО КОРИСНИЦИМА'!$C$3:$C$544,B141,'ПО КОРИСНИЦИМА'!$H$3:$H$544)</f>
        <v>0</v>
      </c>
      <c r="E141" s="1105" t="e">
        <f t="shared" si="8"/>
        <v>#DIV/0!</v>
      </c>
      <c r="F141" s="353">
        <f>SUMIF('ПО КОРИСНИЦИМА'!$C$3:$C$544,B141,'ПО КОРИСНИЦИМА'!$I$3:$I$544)</f>
        <v>0</v>
      </c>
      <c r="G141" s="260">
        <f t="shared" si="9"/>
        <v>0</v>
      </c>
      <c r="H141" s="261"/>
    </row>
    <row r="142" spans="1:8" hidden="1">
      <c r="A142" s="92"/>
      <c r="B142" s="207" t="s">
        <v>4128</v>
      </c>
      <c r="C142" s="235" t="str">
        <f>IFERROR(VLOOKUP(B142,'ПО КОРИСНИЦИМА'!$C$3:$J$505,5,FALSE),"")</f>
        <v/>
      </c>
      <c r="D142" s="258">
        <f>SUMIF('ПО КОРИСНИЦИМА'!$C$3:$C$544,B142,'ПО КОРИСНИЦИМА'!$H$3:$H$544)</f>
        <v>0</v>
      </c>
      <c r="E142" s="1105" t="e">
        <f t="shared" si="8"/>
        <v>#DIV/0!</v>
      </c>
      <c r="F142" s="353">
        <f>SUMIF('ПО КОРИСНИЦИМА'!$C$3:$C$544,B142,'ПО КОРИСНИЦИМА'!$I$3:$I$544)</f>
        <v>0</v>
      </c>
      <c r="G142" s="258">
        <f t="shared" si="9"/>
        <v>0</v>
      </c>
      <c r="H142" s="261"/>
    </row>
    <row r="143" spans="1:8" hidden="1">
      <c r="A143" s="92"/>
      <c r="B143" s="92" t="s">
        <v>4129</v>
      </c>
      <c r="C143" s="235" t="str">
        <f>IFERROR(VLOOKUP(B143,'ПО КОРИСНИЦИМА'!$C$3:$J$505,5,FALSE),"")</f>
        <v/>
      </c>
      <c r="D143" s="258">
        <f>SUMIF('ПО КОРИСНИЦИМА'!$C$3:$C$544,B143,'ПО КОРИСНИЦИМА'!$H$3:$H$544)</f>
        <v>0</v>
      </c>
      <c r="E143" s="1105" t="e">
        <f t="shared" si="8"/>
        <v>#DIV/0!</v>
      </c>
      <c r="F143" s="353">
        <f>SUMIF('ПО КОРИСНИЦИМА'!$C$3:$C$544,B143,'ПО КОРИСНИЦИМА'!$I$3:$I$544)</f>
        <v>0</v>
      </c>
      <c r="G143" s="260">
        <f t="shared" si="9"/>
        <v>0</v>
      </c>
      <c r="H143" s="261"/>
    </row>
    <row r="144" spans="1:8" hidden="1">
      <c r="A144" s="92"/>
      <c r="B144" s="207" t="s">
        <v>4130</v>
      </c>
      <c r="C144" s="235" t="str">
        <f>IFERROR(VLOOKUP(B144,'ПО КОРИСНИЦИМА'!$C$3:$J$505,5,FALSE),"")</f>
        <v/>
      </c>
      <c r="D144" s="258">
        <f>SUMIF('ПО КОРИСНИЦИМА'!$C$3:$C$544,B144,'ПО КОРИСНИЦИМА'!$H$3:$H$544)</f>
        <v>0</v>
      </c>
      <c r="E144" s="1105" t="e">
        <f t="shared" si="8"/>
        <v>#DIV/0!</v>
      </c>
      <c r="F144" s="353">
        <f>SUMIF('ПО КОРИСНИЦИМА'!$C$3:$C$544,B144,'ПО КОРИСНИЦИМА'!$I$3:$I$544)</f>
        <v>0</v>
      </c>
      <c r="G144" s="258">
        <f t="shared" si="9"/>
        <v>0</v>
      </c>
      <c r="H144" s="261"/>
    </row>
    <row r="145" spans="1:8" hidden="1">
      <c r="A145" s="92"/>
      <c r="B145" s="92" t="s">
        <v>4131</v>
      </c>
      <c r="C145" s="235" t="str">
        <f>IFERROR(VLOOKUP(B145,'ПО КОРИСНИЦИМА'!$C$3:$J$505,5,FALSE),"")</f>
        <v/>
      </c>
      <c r="D145" s="258">
        <f>SUMIF('ПО КОРИСНИЦИМА'!$C$3:$C$544,B145,'ПО КОРИСНИЦИМА'!$H$3:$H$544)</f>
        <v>0</v>
      </c>
      <c r="E145" s="1105" t="e">
        <f t="shared" si="8"/>
        <v>#DIV/0!</v>
      </c>
      <c r="F145" s="353">
        <f>SUMIF('ПО КОРИСНИЦИМА'!$C$3:$C$544,B145,'ПО КОРИСНИЦИМА'!$I$3:$I$544)</f>
        <v>0</v>
      </c>
      <c r="G145" s="260">
        <f t="shared" si="9"/>
        <v>0</v>
      </c>
      <c r="H145" s="261"/>
    </row>
    <row r="146" spans="1:8" hidden="1">
      <c r="A146" s="92"/>
      <c r="B146" s="207" t="s">
        <v>4132</v>
      </c>
      <c r="C146" s="235" t="str">
        <f>IFERROR(VLOOKUP(B146,'ПО КОРИСНИЦИМА'!$C$3:$J$505,5,FALSE),"")</f>
        <v/>
      </c>
      <c r="D146" s="258">
        <f>SUMIF('ПО КОРИСНИЦИМА'!$C$3:$C$544,B146,'ПО КОРИСНИЦИМА'!$H$3:$H$544)</f>
        <v>0</v>
      </c>
      <c r="E146" s="1105" t="e">
        <f t="shared" si="8"/>
        <v>#DIV/0!</v>
      </c>
      <c r="F146" s="353">
        <f>SUMIF('ПО КОРИСНИЦИМА'!$C$3:$C$544,B146,'ПО КОРИСНИЦИМА'!$I$3:$I$544)</f>
        <v>0</v>
      </c>
      <c r="G146" s="258">
        <f t="shared" si="9"/>
        <v>0</v>
      </c>
      <c r="H146" s="261"/>
    </row>
    <row r="147" spans="1:8" hidden="1">
      <c r="A147" s="92"/>
      <c r="B147" s="92" t="s">
        <v>4133</v>
      </c>
      <c r="C147" s="235" t="str">
        <f>IFERROR(VLOOKUP(B147,'ПО КОРИСНИЦИМА'!$C$3:$J$505,5,FALSE),"")</f>
        <v/>
      </c>
      <c r="D147" s="258">
        <f>SUMIF('ПО КОРИСНИЦИМА'!$C$3:$C$544,B147,'ПО КОРИСНИЦИМА'!$H$3:$H$544)</f>
        <v>0</v>
      </c>
      <c r="E147" s="1105" t="e">
        <f t="shared" si="8"/>
        <v>#DIV/0!</v>
      </c>
      <c r="F147" s="353">
        <f>SUMIF('ПО КОРИСНИЦИМА'!$C$3:$C$544,B147,'ПО КОРИСНИЦИМА'!$I$3:$I$544)</f>
        <v>0</v>
      </c>
      <c r="G147" s="260">
        <f t="shared" si="9"/>
        <v>0</v>
      </c>
      <c r="H147" s="261"/>
    </row>
    <row r="148" spans="1:8" s="90" customFormat="1" ht="14.25">
      <c r="A148" s="204" t="s">
        <v>3580</v>
      </c>
      <c r="B148" s="205"/>
      <c r="C148" s="233" t="s">
        <v>4417</v>
      </c>
      <c r="D148" s="255">
        <f>SUM(D149:D169)</f>
        <v>73400000</v>
      </c>
      <c r="E148" s="1110">
        <f t="shared" si="8"/>
        <v>62.290718637602183</v>
      </c>
      <c r="F148" s="445">
        <f>SUM(F149:F169)</f>
        <v>45721387.480000004</v>
      </c>
      <c r="G148" s="255">
        <f>D148-F148</f>
        <v>27678612.519999996</v>
      </c>
      <c r="H148" s="256"/>
    </row>
    <row r="149" spans="1:8" ht="25.5">
      <c r="A149" s="202"/>
      <c r="B149" s="209" t="s">
        <v>4043</v>
      </c>
      <c r="C149" s="526" t="s">
        <v>4505</v>
      </c>
      <c r="D149" s="258">
        <f>SUMIF('ПО КОРИСНИЦИМА'!$C$3:$C$544,B149,'ПО КОРИСНИЦИМА'!$H$3:$H$544)</f>
        <v>57000000</v>
      </c>
      <c r="E149" s="1109">
        <f t="shared" si="8"/>
        <v>69.169974578947375</v>
      </c>
      <c r="F149" s="353">
        <f>SUMIF('ПО КОРИСНИЦИМА'!$C$3:$C$544,B149,'ПО КОРИСНИЦИМА'!$I$3:$I$544)</f>
        <v>39426885.510000005</v>
      </c>
      <c r="G149" s="258">
        <f>D149-F149</f>
        <v>17573114.489999995</v>
      </c>
      <c r="H149" s="210"/>
    </row>
    <row r="150" spans="1:8">
      <c r="A150" s="92"/>
      <c r="B150" s="92" t="s">
        <v>4134</v>
      </c>
      <c r="C150" s="235" t="s">
        <v>4418</v>
      </c>
      <c r="D150" s="258">
        <f>SUMIF('ПО КОРИСНИЦИМА'!$C$3:$C$544,B150,'ПО КОРИСНИЦИМА'!$H$3:$H$544)</f>
        <v>16400000</v>
      </c>
      <c r="E150" s="1109">
        <f t="shared" si="8"/>
        <v>38.381109573170733</v>
      </c>
      <c r="F150" s="353">
        <f>SUMIF('ПО КОРИСНИЦИМА'!$C$3:$C$544,B150,'ПО КОРИСНИЦИМА'!$I$3:$I$544)</f>
        <v>6294501.9699999997</v>
      </c>
      <c r="G150" s="260">
        <f>D150-F150</f>
        <v>10105498.030000001</v>
      </c>
      <c r="H150" s="200"/>
    </row>
    <row r="151" spans="1:8" hidden="1">
      <c r="A151" s="92"/>
      <c r="B151" s="92" t="s">
        <v>4506</v>
      </c>
      <c r="C151" s="235" t="str">
        <f>IFERROR(VLOOKUP(B151,'ПО КОРИСНИЦИМА'!$C$3:$J$505,5,FALSE),"")</f>
        <v/>
      </c>
      <c r="D151" s="251">
        <f>SUMIF('ПО КОРИСНИЦИМА'!$G$3:$G$505,"Свега за пројекат 2001-П6:",'ПО КОРИСНИЦИМА'!$H$3:$H$505)</f>
        <v>0</v>
      </c>
      <c r="E151" s="1105" t="e">
        <f t="shared" si="8"/>
        <v>#DIV/0!</v>
      </c>
      <c r="F151" s="1085">
        <f>SUMIF('ПО КОРИСНИЦИМА'!$G$3:$G$505,"Свега за пројекат 2001-П6:",'ПО КОРИСНИЦИМА'!$I$3:$I$505)</f>
        <v>0</v>
      </c>
      <c r="G151" s="260">
        <f t="shared" ref="G151:G169" si="10">D151+F151</f>
        <v>0</v>
      </c>
      <c r="H151" s="231"/>
    </row>
    <row r="152" spans="1:8" hidden="1">
      <c r="A152" s="92"/>
      <c r="B152" s="92" t="s">
        <v>4507</v>
      </c>
      <c r="C152" s="235" t="str">
        <f>IFERROR(VLOOKUP(B152,'ПО КОРИСНИЦИМА'!$C$3:$J$505,5,FALSE),"")</f>
        <v/>
      </c>
      <c r="D152" s="251">
        <f>SUMIF('ПО КОРИСНИЦИМА'!$G$3:$G$505,"Свега за пројекат 2001-П7:",'ПО КОРИСНИЦИМА'!$H$3:$H$505)</f>
        <v>0</v>
      </c>
      <c r="E152" s="1105" t="e">
        <f t="shared" si="8"/>
        <v>#DIV/0!</v>
      </c>
      <c r="F152" s="1085">
        <f>SUMIF('ПО КОРИСНИЦИМА'!$G$3:$G$505,"Свега за пројекат 2001-П7:",'ПО КОРИСНИЦИМА'!$I$3:$I$505)</f>
        <v>0</v>
      </c>
      <c r="G152" s="260">
        <f t="shared" si="10"/>
        <v>0</v>
      </c>
      <c r="H152" s="231"/>
    </row>
    <row r="153" spans="1:8" hidden="1">
      <c r="A153" s="92"/>
      <c r="B153" s="92" t="s">
        <v>4508</v>
      </c>
      <c r="C153" s="235" t="str">
        <f>IFERROR(VLOOKUP(B153,'ПО КОРИСНИЦИМА'!$C$3:$J$505,5,FALSE),"")</f>
        <v/>
      </c>
      <c r="D153" s="251">
        <f>SUMIF('ПО КОРИСНИЦИМА'!$G$3:$G$505,"Свега за пројекат 2001-П8:",'ПО КОРИСНИЦИМА'!$H$3:$H$505)</f>
        <v>0</v>
      </c>
      <c r="E153" s="1105" t="e">
        <f t="shared" si="8"/>
        <v>#DIV/0!</v>
      </c>
      <c r="F153" s="1085">
        <f>SUMIF('ПО КОРИСНИЦИМА'!$G$3:$G$505,"Свега за пројекат 2001-П8:",'ПО КОРИСНИЦИМА'!$I$3:$I$505)</f>
        <v>0</v>
      </c>
      <c r="G153" s="260">
        <f t="shared" si="10"/>
        <v>0</v>
      </c>
      <c r="H153" s="231"/>
    </row>
    <row r="154" spans="1:8" hidden="1">
      <c r="A154" s="92"/>
      <c r="B154" s="92" t="s">
        <v>4509</v>
      </c>
      <c r="C154" s="235" t="str">
        <f>IFERROR(VLOOKUP(B154,'ПО КОРИСНИЦИМА'!$C$3:$J$505,5,FALSE),"")</f>
        <v/>
      </c>
      <c r="D154" s="251">
        <f>SUMIF('ПО КОРИСНИЦИМА'!$G$3:$G$505,"Свега за пројекат 2001-П9:",'ПО КОРИСНИЦИМА'!$H$3:$H$505)</f>
        <v>0</v>
      </c>
      <c r="E154" s="1105" t="e">
        <f t="shared" si="8"/>
        <v>#DIV/0!</v>
      </c>
      <c r="F154" s="1085">
        <f>SUMIF('ПО КОРИСНИЦИМА'!$G$3:$G$505,"Свега за пројекат 2001-П9:",'ПО КОРИСНИЦИМА'!$I$3:$I$505)</f>
        <v>0</v>
      </c>
      <c r="G154" s="260">
        <f t="shared" si="10"/>
        <v>0</v>
      </c>
      <c r="H154" s="231"/>
    </row>
    <row r="155" spans="1:8" hidden="1">
      <c r="A155" s="92"/>
      <c r="B155" s="92" t="s">
        <v>4135</v>
      </c>
      <c r="C155" s="235" t="str">
        <f>IFERROR(VLOOKUP(B155,'ПО КОРИСНИЦИМА'!$C$3:$J$505,5,FALSE),"")</f>
        <v/>
      </c>
      <c r="D155" s="251">
        <f>SUMIF('ПО КОРИСНИЦИМА'!$G$3:$G$505,"Свега за пројекат 2001-П10:",'ПО КОРИСНИЦИМА'!$H$3:$H$505)</f>
        <v>0</v>
      </c>
      <c r="E155" s="1105" t="e">
        <f t="shared" si="8"/>
        <v>#DIV/0!</v>
      </c>
      <c r="F155" s="1085">
        <f>SUMIF('ПО КОРИСНИЦИМА'!$G$3:$G$505,"Свега за пројекат 2001-П10:",'ПО КОРИСНИЦИМА'!$I$3:$I$505)</f>
        <v>0</v>
      </c>
      <c r="G155" s="260">
        <f t="shared" si="10"/>
        <v>0</v>
      </c>
      <c r="H155" s="231"/>
    </row>
    <row r="156" spans="1:8" hidden="1">
      <c r="A156" s="92"/>
      <c r="B156" s="92" t="s">
        <v>4136</v>
      </c>
      <c r="C156" s="235" t="str">
        <f>IFERROR(VLOOKUP(B156,'ПО КОРИСНИЦИМА'!$C$3:$J$505,5,FALSE),"")</f>
        <v/>
      </c>
      <c r="D156" s="251">
        <f>SUMIF('ПО КОРИСНИЦИМА'!$G$3:$G$505,"Свега за пројекат 2001-П11:",'ПО КОРИСНИЦИМА'!$H$3:$H$505)</f>
        <v>0</v>
      </c>
      <c r="E156" s="1105" t="e">
        <f t="shared" si="8"/>
        <v>#DIV/0!</v>
      </c>
      <c r="F156" s="1085">
        <f>SUMIF('ПО КОРИСНИЦИМА'!$G$3:$G$505,"Свега за пројекат 2001-П11:",'ПО КОРИСНИЦИМА'!$I$3:$I$505)</f>
        <v>0</v>
      </c>
      <c r="G156" s="260">
        <f t="shared" si="10"/>
        <v>0</v>
      </c>
      <c r="H156" s="231"/>
    </row>
    <row r="157" spans="1:8" hidden="1">
      <c r="A157" s="92"/>
      <c r="B157" s="92" t="s">
        <v>4137</v>
      </c>
      <c r="C157" s="235" t="str">
        <f>IFERROR(VLOOKUP(B157,'ПО КОРИСНИЦИМА'!$C$3:$J$505,5,FALSE),"")</f>
        <v/>
      </c>
      <c r="D157" s="251">
        <f>SUMIF('ПО КОРИСНИЦИМА'!$G$3:$G$505,"Свега за пројекат 2001-П12:",'ПО КОРИСНИЦИМА'!$H$3:$H$505)</f>
        <v>0</v>
      </c>
      <c r="E157" s="1105" t="e">
        <f t="shared" si="8"/>
        <v>#DIV/0!</v>
      </c>
      <c r="F157" s="1085">
        <f>SUMIF('ПО КОРИСНИЦИМА'!$G$3:$G$505,"Свега за пројекат 2001-П12:",'ПО КОРИСНИЦИМА'!$I$3:$I$505)</f>
        <v>0</v>
      </c>
      <c r="G157" s="260">
        <f t="shared" si="10"/>
        <v>0</v>
      </c>
      <c r="H157" s="231"/>
    </row>
    <row r="158" spans="1:8" hidden="1">
      <c r="A158" s="92"/>
      <c r="B158" s="92" t="s">
        <v>4138</v>
      </c>
      <c r="C158" s="235" t="str">
        <f>IFERROR(VLOOKUP(B158,'ПО КОРИСНИЦИМА'!$C$3:$J$505,5,FALSE),"")</f>
        <v/>
      </c>
      <c r="D158" s="251">
        <f>SUMIF('ПО КОРИСНИЦИМА'!$G$3:$G$505,"Свега за пројекат 2001-П13:",'ПО КОРИСНИЦИМА'!$H$3:$H$505)</f>
        <v>0</v>
      </c>
      <c r="E158" s="1105" t="e">
        <f t="shared" si="8"/>
        <v>#DIV/0!</v>
      </c>
      <c r="F158" s="1085">
        <f>SUMIF('ПО КОРИСНИЦИМА'!$G$3:$G$505,"Свега за пројекат 2001-П13:",'ПО КОРИСНИЦИМА'!$I$3:$I$505)</f>
        <v>0</v>
      </c>
      <c r="G158" s="260">
        <f t="shared" si="10"/>
        <v>0</v>
      </c>
      <c r="H158" s="231"/>
    </row>
    <row r="159" spans="1:8" hidden="1">
      <c r="A159" s="92"/>
      <c r="B159" s="92" t="s">
        <v>4139</v>
      </c>
      <c r="C159" s="235" t="str">
        <f>IFERROR(VLOOKUP(B159,'ПО КОРИСНИЦИМА'!$C$3:$J$505,5,FALSE),"")</f>
        <v/>
      </c>
      <c r="D159" s="251">
        <f>SUMIF('ПО КОРИСНИЦИМА'!$G$3:$G$505,"Свега за пројекат 2001-П14:",'ПО КОРИСНИЦИМА'!$H$3:$H$505)</f>
        <v>0</v>
      </c>
      <c r="E159" s="1105" t="e">
        <f t="shared" si="8"/>
        <v>#DIV/0!</v>
      </c>
      <c r="F159" s="1085">
        <f>SUMIF('ПО КОРИСНИЦИМА'!$G$3:$G$505,"Свега за пројекат 2001-П14:",'ПО КОРИСНИЦИМА'!$I$3:$I$505)</f>
        <v>0</v>
      </c>
      <c r="G159" s="260">
        <f t="shared" si="10"/>
        <v>0</v>
      </c>
      <c r="H159" s="231"/>
    </row>
    <row r="160" spans="1:8" hidden="1">
      <c r="A160" s="92"/>
      <c r="B160" s="92" t="s">
        <v>4140</v>
      </c>
      <c r="C160" s="235" t="str">
        <f>IFERROR(VLOOKUP(B160,'ПО КОРИСНИЦИМА'!$C$3:$J$505,5,FALSE),"")</f>
        <v/>
      </c>
      <c r="D160" s="251">
        <f>SUMIF('ПО КОРИСНИЦИМА'!$G$3:$G$505,"Свега за пројекат 2001-П15:",'ПО КОРИСНИЦИМА'!$H$3:$H$505)</f>
        <v>0</v>
      </c>
      <c r="E160" s="1105" t="e">
        <f t="shared" si="8"/>
        <v>#DIV/0!</v>
      </c>
      <c r="F160" s="1085">
        <f>SUMIF('ПО КОРИСНИЦИМА'!$G$3:$G$505,"Свега за пројекат 2001-П15:",'ПО КОРИСНИЦИМА'!$I$3:$I$505)</f>
        <v>0</v>
      </c>
      <c r="G160" s="260">
        <f t="shared" si="10"/>
        <v>0</v>
      </c>
      <c r="H160" s="231"/>
    </row>
    <row r="161" spans="1:8" hidden="1">
      <c r="A161" s="92"/>
      <c r="B161" s="92" t="s">
        <v>4141</v>
      </c>
      <c r="C161" s="235" t="str">
        <f>IFERROR(VLOOKUP(B161,'ПО КОРИСНИЦИМА'!$C$3:$J$505,5,FALSE),"")</f>
        <v/>
      </c>
      <c r="D161" s="251">
        <f>SUMIF('ПО КОРИСНИЦИМА'!$G$3:$G$505,"Свега за пројекат 2001-П16:",'ПО КОРИСНИЦИМА'!$H$3:$H$505)</f>
        <v>0</v>
      </c>
      <c r="E161" s="1105" t="e">
        <f t="shared" si="8"/>
        <v>#DIV/0!</v>
      </c>
      <c r="F161" s="1085">
        <f>SUMIF('ПО КОРИСНИЦИМА'!$G$3:$G$505,"Свега за пројекат 2001-П16:",'ПО КОРИСНИЦИМА'!$I$3:$I$505)</f>
        <v>0</v>
      </c>
      <c r="G161" s="260">
        <f t="shared" si="10"/>
        <v>0</v>
      </c>
      <c r="H161" s="231"/>
    </row>
    <row r="162" spans="1:8" hidden="1">
      <c r="A162" s="92"/>
      <c r="B162" s="92" t="s">
        <v>4142</v>
      </c>
      <c r="C162" s="235" t="str">
        <f>IFERROR(VLOOKUP(B162,'ПО КОРИСНИЦИМА'!$C$3:$J$505,5,FALSE),"")</f>
        <v/>
      </c>
      <c r="D162" s="251">
        <f>SUMIF('ПО КОРИСНИЦИМА'!$G$3:$G$505,"Свега за пројекат 2001-П17:",'ПО КОРИСНИЦИМА'!$H$3:$H$505)</f>
        <v>0</v>
      </c>
      <c r="E162" s="1105" t="e">
        <f t="shared" si="8"/>
        <v>#DIV/0!</v>
      </c>
      <c r="F162" s="1085">
        <f>SUMIF('ПО КОРИСНИЦИМА'!$G$3:$G$505,"Свега за пројекат 2001-П17:",'ПО КОРИСНИЦИМА'!$I$3:$I$505)</f>
        <v>0</v>
      </c>
      <c r="G162" s="260">
        <f t="shared" si="10"/>
        <v>0</v>
      </c>
      <c r="H162" s="231"/>
    </row>
    <row r="163" spans="1:8" hidden="1">
      <c r="A163" s="92"/>
      <c r="B163" s="92" t="s">
        <v>4143</v>
      </c>
      <c r="C163" s="235" t="str">
        <f>IFERROR(VLOOKUP(B163,'ПО КОРИСНИЦИМА'!$C$3:$J$505,5,FALSE),"")</f>
        <v/>
      </c>
      <c r="D163" s="251">
        <f>SUMIF('ПО КОРИСНИЦИМА'!$G$3:$G$505,"Свега за пројекат 2001-П18:",'ПО КОРИСНИЦИМА'!$H$3:$H$505)</f>
        <v>0</v>
      </c>
      <c r="E163" s="1105" t="e">
        <f t="shared" si="8"/>
        <v>#DIV/0!</v>
      </c>
      <c r="F163" s="1085">
        <f>SUMIF('ПО КОРИСНИЦИМА'!$G$3:$G$505,"Свега за пројекат 2001-П18:",'ПО КОРИСНИЦИМА'!$I$3:$I$505)</f>
        <v>0</v>
      </c>
      <c r="G163" s="260">
        <f t="shared" si="10"/>
        <v>0</v>
      </c>
      <c r="H163" s="231"/>
    </row>
    <row r="164" spans="1:8" hidden="1">
      <c r="A164" s="92"/>
      <c r="B164" s="92" t="s">
        <v>4144</v>
      </c>
      <c r="C164" s="235" t="str">
        <f>IFERROR(VLOOKUP(B164,'ПО КОРИСНИЦИМА'!$C$3:$J$505,5,FALSE),"")</f>
        <v/>
      </c>
      <c r="D164" s="251">
        <f>SUMIF('ПО КОРИСНИЦИМА'!$G$3:$G$505,"Свега за пројекат 2001-П19:",'ПО КОРИСНИЦИМА'!$H$3:$H$505)</f>
        <v>0</v>
      </c>
      <c r="E164" s="1105" t="e">
        <f t="shared" si="8"/>
        <v>#DIV/0!</v>
      </c>
      <c r="F164" s="1085">
        <f>SUMIF('ПО КОРИСНИЦИМА'!$G$3:$G$505,"Свега за пројекат 2001-П19:",'ПО КОРИСНИЦИМА'!$I$3:$I$505)</f>
        <v>0</v>
      </c>
      <c r="G164" s="260">
        <f t="shared" si="10"/>
        <v>0</v>
      </c>
      <c r="H164" s="231"/>
    </row>
    <row r="165" spans="1:8" hidden="1">
      <c r="A165" s="92"/>
      <c r="B165" s="92" t="s">
        <v>4145</v>
      </c>
      <c r="C165" s="235" t="str">
        <f>IFERROR(VLOOKUP(B165,'ПО КОРИСНИЦИМА'!$C$3:$J$505,5,FALSE),"")</f>
        <v/>
      </c>
      <c r="D165" s="251">
        <f>SUMIF('ПО КОРИСНИЦИМА'!$G$3:$G$505,"Свега за пројекат 2001-П20:",'ПО КОРИСНИЦИМА'!$H$3:$H$505)</f>
        <v>0</v>
      </c>
      <c r="E165" s="1105" t="e">
        <f t="shared" si="8"/>
        <v>#DIV/0!</v>
      </c>
      <c r="F165" s="1085">
        <f>SUMIF('ПО КОРИСНИЦИМА'!$G$3:$G$505,"Свега за пројекат 2001-П20:",'ПО КОРИСНИЦИМА'!$I$3:$I$505)</f>
        <v>0</v>
      </c>
      <c r="G165" s="260">
        <f t="shared" si="10"/>
        <v>0</v>
      </c>
      <c r="H165" s="200"/>
    </row>
    <row r="166" spans="1:8" hidden="1">
      <c r="A166" s="92"/>
      <c r="B166" s="92" t="s">
        <v>4146</v>
      </c>
      <c r="C166" s="235" t="str">
        <f>IFERROR(VLOOKUP(B166,'ПО КОРИСНИЦИМА'!$C$3:$J$505,5,FALSE),"")</f>
        <v/>
      </c>
      <c r="D166" s="251">
        <f>SUMIF('ПО КОРИСНИЦИМА'!$G$3:$G$505,"Свега за пројекат 2001-П21:",'ПО КОРИСНИЦИМА'!$H$3:$H$505)</f>
        <v>0</v>
      </c>
      <c r="E166" s="1105" t="e">
        <f t="shared" si="8"/>
        <v>#DIV/0!</v>
      </c>
      <c r="F166" s="1085">
        <f>SUMIF('ПО КОРИСНИЦИМА'!$G$3:$G$505,"Свега за пројекат 2001-П21:",'ПО КОРИСНИЦИМА'!$I$3:$I$505)</f>
        <v>0</v>
      </c>
      <c r="G166" s="260">
        <f t="shared" si="10"/>
        <v>0</v>
      </c>
      <c r="H166" s="231"/>
    </row>
    <row r="167" spans="1:8" hidden="1">
      <c r="A167" s="92"/>
      <c r="B167" s="92" t="s">
        <v>4147</v>
      </c>
      <c r="C167" s="235" t="str">
        <f>IFERROR(VLOOKUP(B167,'ПО КОРИСНИЦИМА'!$C$3:$J$505,5,FALSE),"")</f>
        <v/>
      </c>
      <c r="D167" s="251">
        <f>SUMIF('ПО КОРИСНИЦИМА'!$G$3:$G$505,"Свега за пројекат 2001-П22:",'ПО КОРИСНИЦИМА'!$H$3:$H$505)</f>
        <v>0</v>
      </c>
      <c r="E167" s="1105" t="e">
        <f t="shared" si="8"/>
        <v>#DIV/0!</v>
      </c>
      <c r="F167" s="1085">
        <f>SUMIF('ПО КОРИСНИЦИМА'!$G$3:$G$505,"Свега за пројекат 2001-П22:",'ПО КОРИСНИЦИМА'!$I$3:$I$505)</f>
        <v>0</v>
      </c>
      <c r="G167" s="260">
        <f t="shared" si="10"/>
        <v>0</v>
      </c>
      <c r="H167" s="231"/>
    </row>
    <row r="168" spans="1:8" hidden="1">
      <c r="A168" s="92"/>
      <c r="B168" s="92" t="s">
        <v>4148</v>
      </c>
      <c r="C168" s="235" t="str">
        <f>IFERROR(VLOOKUP(B168,'ПО КОРИСНИЦИМА'!$C$3:$J$505,5,FALSE),"")</f>
        <v/>
      </c>
      <c r="D168" s="251">
        <f>SUMIF('ПО КОРИСНИЦИМА'!$G$3:$G$505,"Свега за пројекат 2001-П23:",'ПО КОРИСНИЦИМА'!$H$3:$H$505)</f>
        <v>0</v>
      </c>
      <c r="E168" s="1105" t="e">
        <f t="shared" si="8"/>
        <v>#DIV/0!</v>
      </c>
      <c r="F168" s="1085">
        <f>SUMIF('ПО КОРИСНИЦИМА'!$G$3:$G$505,"Свега за пројекат 2001-П23:",'ПО КОРИСНИЦИМА'!$I$3:$I$505)</f>
        <v>0</v>
      </c>
      <c r="G168" s="260">
        <f t="shared" si="10"/>
        <v>0</v>
      </c>
      <c r="H168" s="231"/>
    </row>
    <row r="169" spans="1:8" hidden="1">
      <c r="A169" s="92"/>
      <c r="B169" s="92" t="s">
        <v>4149</v>
      </c>
      <c r="C169" s="235" t="str">
        <f>IFERROR(VLOOKUP(B169,'ПО КОРИСНИЦИМА'!$C$3:$J$505,5,FALSE),"")</f>
        <v/>
      </c>
      <c r="D169" s="251">
        <f>SUMIF('ПО КОРИСНИЦИМА'!$G$3:$G$505,"Свега за пројекат 2001-П24:",'ПО КОРИСНИЦИМА'!$H$3:$H$505)</f>
        <v>0</v>
      </c>
      <c r="E169" s="1105" t="e">
        <f t="shared" si="8"/>
        <v>#DIV/0!</v>
      </c>
      <c r="F169" s="1085">
        <f>SUMIF('ПО КОРИСНИЦИМА'!$G$3:$G$505,"Свега за пројекат 2001-П24:",'ПО КОРИСНИЦИМА'!$I$3:$I$505)</f>
        <v>0</v>
      </c>
      <c r="G169" s="260">
        <f t="shared" si="10"/>
        <v>0</v>
      </c>
      <c r="H169" s="231"/>
    </row>
    <row r="170" spans="1:8" s="90" customFormat="1" ht="14.25">
      <c r="A170" s="204" t="s">
        <v>3583</v>
      </c>
      <c r="B170" s="205"/>
      <c r="C170" s="233" t="s">
        <v>4419</v>
      </c>
      <c r="D170" s="255">
        <f>SUM(D171:D191)</f>
        <v>65200000</v>
      </c>
      <c r="E170" s="1110">
        <f t="shared" si="8"/>
        <v>49.170603343558277</v>
      </c>
      <c r="F170" s="445">
        <f>SUM(F171:F191)</f>
        <v>32059233.379999999</v>
      </c>
      <c r="G170" s="255">
        <f>D170-F170</f>
        <v>33140766.620000001</v>
      </c>
      <c r="H170" s="256"/>
    </row>
    <row r="171" spans="1:8">
      <c r="A171" s="202"/>
      <c r="B171" s="209" t="s">
        <v>3980</v>
      </c>
      <c r="C171" s="239" t="s">
        <v>3975</v>
      </c>
      <c r="D171" s="258">
        <f>SUMIF('ПО КОРИСНИЦИМА'!$C$3:$C$544,B171,'ПО КОРИСНИЦИМА'!$H$3:$H$544)</f>
        <v>43700000</v>
      </c>
      <c r="E171" s="1109">
        <f t="shared" si="8"/>
        <v>73.362090114416475</v>
      </c>
      <c r="F171" s="353">
        <f>SUMIF('ПО КОРИСНИЦИМА'!$C$3:$C$544,B171,'ПО КОРИСНИЦИМА'!$I$3:$I$544)</f>
        <v>32059233.379999999</v>
      </c>
      <c r="G171" s="258">
        <f>D171-F171</f>
        <v>11640766.620000001</v>
      </c>
      <c r="H171" s="259"/>
    </row>
    <row r="172" spans="1:8" ht="25.5" customHeight="1">
      <c r="A172" s="202"/>
      <c r="B172" s="209" t="s">
        <v>4150</v>
      </c>
      <c r="C172" s="525" t="str">
        <f>IFERROR(VLOOKUP(B172,'ПО КОРИСНИЦИМА'!$C$3:$J$505,5,FALSE),"")</f>
        <v>Пројекат ограђивања, замене котларница и изградње спортских игралишта у ОШ Бранко Радичевић</v>
      </c>
      <c r="D172" s="258">
        <f>SUMIF('ПО КОРИСНИЦИМА'!$C$3:$C$544,B172,'ПО КОРИСНИЦИМА'!$H$3:$H$544)</f>
        <v>21500000</v>
      </c>
      <c r="E172" s="1109">
        <f t="shared" si="8"/>
        <v>0</v>
      </c>
      <c r="F172" s="353">
        <f>SUMIF('ПО КОРИСНИЦИМА'!$C$3:$C$544,B172,'ПО КОРИСНИЦИМА'!$I$3:$I$544)</f>
        <v>0</v>
      </c>
      <c r="G172" s="258">
        <f>D172-F172</f>
        <v>21500000</v>
      </c>
      <c r="H172" s="259"/>
    </row>
    <row r="173" spans="1:8" hidden="1">
      <c r="A173" s="202"/>
      <c r="B173" s="209" t="s">
        <v>4322</v>
      </c>
      <c r="C173" s="235" t="str">
        <f>IFERROR(VLOOKUP(B173,'ПО КОРИСНИЦИМА'!$C$3:$J$505,5,FALSE),"")</f>
        <v/>
      </c>
      <c r="D173" s="258">
        <f>SUMIF('ПО КОРИСНИЦИМА'!$C$3:$C$544,B173,'ПО КОРИСНИЦИМА'!$H$3:$H$544)</f>
        <v>0</v>
      </c>
      <c r="E173" s="1105" t="e">
        <f t="shared" si="8"/>
        <v>#DIV/0!</v>
      </c>
      <c r="F173" s="353">
        <f>SUMIF('ПО КОРИСНИЦИМА'!$C$3:$C$544,B173,'ПО КОРИСНИЦИМА'!$I$3:$I$544)</f>
        <v>0</v>
      </c>
      <c r="G173" s="258">
        <f t="shared" ref="G173:G191" si="11">D173+F173</f>
        <v>0</v>
      </c>
      <c r="H173" s="259"/>
    </row>
    <row r="174" spans="1:8" hidden="1">
      <c r="A174" s="202"/>
      <c r="B174" s="209" t="s">
        <v>4510</v>
      </c>
      <c r="C174" s="235" t="str">
        <f>IFERROR(VLOOKUP(B174,'ПО КОРИСНИЦИМА'!$C$3:$J$505,5,FALSE),"")</f>
        <v/>
      </c>
      <c r="D174" s="258">
        <f>SUMIF('ПО КОРИСНИЦИМА'!$C$3:$C$544,B174,'ПО КОРИСНИЦИМА'!$H$3:$H$544)</f>
        <v>0</v>
      </c>
      <c r="E174" s="1105" t="e">
        <f t="shared" si="8"/>
        <v>#DIV/0!</v>
      </c>
      <c r="F174" s="353">
        <f>SUMIF('ПО КОРИСНИЦИМА'!$C$3:$C$544,B174,'ПО КОРИСНИЦИМА'!$I$3:$I$544)</f>
        <v>0</v>
      </c>
      <c r="G174" s="258">
        <f t="shared" si="11"/>
        <v>0</v>
      </c>
      <c r="H174" s="259"/>
    </row>
    <row r="175" spans="1:8" hidden="1">
      <c r="A175" s="202"/>
      <c r="B175" s="209" t="s">
        <v>4511</v>
      </c>
      <c r="C175" s="235" t="str">
        <f>IFERROR(VLOOKUP(B175,'ПО КОРИСНИЦИМА'!$C$3:$J$505,5,FALSE),"")</f>
        <v/>
      </c>
      <c r="D175" s="258">
        <f>SUMIF('ПО КОРИСНИЦИМА'!$C$3:$C$544,B175,'ПО КОРИСНИЦИМА'!$H$3:$H$544)</f>
        <v>0</v>
      </c>
      <c r="E175" s="1105" t="e">
        <f t="shared" si="8"/>
        <v>#DIV/0!</v>
      </c>
      <c r="F175" s="353">
        <f>SUMIF('ПО КОРИСНИЦИМА'!$C$3:$C$544,B175,'ПО КОРИСНИЦИМА'!$I$3:$I$544)</f>
        <v>0</v>
      </c>
      <c r="G175" s="258">
        <f t="shared" si="11"/>
        <v>0</v>
      </c>
      <c r="H175" s="259"/>
    </row>
    <row r="176" spans="1:8" hidden="1">
      <c r="A176" s="202"/>
      <c r="B176" s="209" t="s">
        <v>4512</v>
      </c>
      <c r="C176" s="235" t="str">
        <f>IFERROR(VLOOKUP(B176,'ПО КОРИСНИЦИМА'!$C$3:$J$505,5,FALSE),"")</f>
        <v/>
      </c>
      <c r="D176" s="258">
        <f>SUMIF('ПО КОРИСНИЦИМА'!$C$3:$C$544,B176,'ПО КОРИСНИЦИМА'!$H$3:$H$544)</f>
        <v>0</v>
      </c>
      <c r="E176" s="1105" t="e">
        <f t="shared" si="8"/>
        <v>#DIV/0!</v>
      </c>
      <c r="F176" s="353">
        <f>SUMIF('ПО КОРИСНИЦИМА'!$C$3:$C$544,B176,'ПО КОРИСНИЦИМА'!$I$3:$I$544)</f>
        <v>0</v>
      </c>
      <c r="G176" s="258">
        <f t="shared" si="11"/>
        <v>0</v>
      </c>
      <c r="H176" s="259"/>
    </row>
    <row r="177" spans="1:8" hidden="1">
      <c r="A177" s="202"/>
      <c r="B177" s="209" t="s">
        <v>4151</v>
      </c>
      <c r="C177" s="235" t="str">
        <f>IFERROR(VLOOKUP(B177,'ПО КОРИСНИЦИМА'!$C$3:$J$505,5,FALSE),"")</f>
        <v/>
      </c>
      <c r="D177" s="258">
        <f>SUMIF('ПО КОРИСНИЦИМА'!$C$3:$C$544,B177,'ПО КОРИСНИЦИМА'!$H$3:$H$544)</f>
        <v>0</v>
      </c>
      <c r="E177" s="1105" t="e">
        <f t="shared" si="8"/>
        <v>#DIV/0!</v>
      </c>
      <c r="F177" s="353">
        <f>SUMIF('ПО КОРИСНИЦИМА'!$C$3:$C$544,B177,'ПО КОРИСНИЦИМА'!$I$3:$I$544)</f>
        <v>0</v>
      </c>
      <c r="G177" s="258">
        <f t="shared" si="11"/>
        <v>0</v>
      </c>
      <c r="H177" s="259"/>
    </row>
    <row r="178" spans="1:8" hidden="1">
      <c r="A178" s="202"/>
      <c r="B178" s="209" t="s">
        <v>4152</v>
      </c>
      <c r="C178" s="235" t="str">
        <f>IFERROR(VLOOKUP(B178,'ПО КОРИСНИЦИМА'!$C$3:$J$505,5,FALSE),"")</f>
        <v/>
      </c>
      <c r="D178" s="258">
        <f>SUMIF('ПО КОРИСНИЦИМА'!$C$3:$C$544,B178,'ПО КОРИСНИЦИМА'!$H$3:$H$544)</f>
        <v>0</v>
      </c>
      <c r="E178" s="1105" t="e">
        <f t="shared" si="8"/>
        <v>#DIV/0!</v>
      </c>
      <c r="F178" s="353">
        <f>SUMIF('ПО КОРИСНИЦИМА'!$C$3:$C$544,B178,'ПО КОРИСНИЦИМА'!$I$3:$I$544)</f>
        <v>0</v>
      </c>
      <c r="G178" s="258">
        <f t="shared" si="11"/>
        <v>0</v>
      </c>
      <c r="H178" s="259"/>
    </row>
    <row r="179" spans="1:8" hidden="1">
      <c r="A179" s="202"/>
      <c r="B179" s="209" t="s">
        <v>4153</v>
      </c>
      <c r="C179" s="235" t="str">
        <f>IFERROR(VLOOKUP(B179,'ПО КОРИСНИЦИМА'!$C$3:$J$505,5,FALSE),"")</f>
        <v/>
      </c>
      <c r="D179" s="258">
        <f>SUMIF('ПО КОРИСНИЦИМА'!$C$3:$C$544,B179,'ПО КОРИСНИЦИМА'!$H$3:$H$544)</f>
        <v>0</v>
      </c>
      <c r="E179" s="1105" t="e">
        <f t="shared" si="8"/>
        <v>#DIV/0!</v>
      </c>
      <c r="F179" s="353">
        <f>SUMIF('ПО КОРИСНИЦИМА'!$C$3:$C$544,B179,'ПО КОРИСНИЦИМА'!$I$3:$I$544)</f>
        <v>0</v>
      </c>
      <c r="G179" s="258">
        <f t="shared" si="11"/>
        <v>0</v>
      </c>
      <c r="H179" s="259"/>
    </row>
    <row r="180" spans="1:8" hidden="1">
      <c r="A180" s="202"/>
      <c r="B180" s="209" t="s">
        <v>4154</v>
      </c>
      <c r="C180" s="235" t="str">
        <f>IFERROR(VLOOKUP(B180,'ПО КОРИСНИЦИМА'!$C$3:$J$505,5,FALSE),"")</f>
        <v/>
      </c>
      <c r="D180" s="258">
        <f>SUMIF('ПО КОРИСНИЦИМА'!$C$3:$C$544,B180,'ПО КОРИСНИЦИМА'!$H$3:$H$544)</f>
        <v>0</v>
      </c>
      <c r="E180" s="1105" t="e">
        <f t="shared" si="8"/>
        <v>#DIV/0!</v>
      </c>
      <c r="F180" s="353">
        <f>SUMIF('ПО КОРИСНИЦИМА'!$C$3:$C$544,B180,'ПО КОРИСНИЦИМА'!$I$3:$I$544)</f>
        <v>0</v>
      </c>
      <c r="G180" s="258">
        <f t="shared" si="11"/>
        <v>0</v>
      </c>
      <c r="H180" s="259"/>
    </row>
    <row r="181" spans="1:8" hidden="1">
      <c r="A181" s="202"/>
      <c r="B181" s="209" t="s">
        <v>4155</v>
      </c>
      <c r="C181" s="235" t="str">
        <f>IFERROR(VLOOKUP(B181,'ПО КОРИСНИЦИМА'!$C$3:$J$505,5,FALSE),"")</f>
        <v/>
      </c>
      <c r="D181" s="258">
        <f>SUMIF('ПО КОРИСНИЦИМА'!$C$3:$C$544,B181,'ПО КОРИСНИЦИМА'!$H$3:$H$544)</f>
        <v>0</v>
      </c>
      <c r="E181" s="1105" t="e">
        <f t="shared" si="8"/>
        <v>#DIV/0!</v>
      </c>
      <c r="F181" s="353">
        <f>SUMIF('ПО КОРИСНИЦИМА'!$C$3:$C$544,B181,'ПО КОРИСНИЦИМА'!$I$3:$I$544)</f>
        <v>0</v>
      </c>
      <c r="G181" s="258">
        <f t="shared" si="11"/>
        <v>0</v>
      </c>
      <c r="H181" s="259"/>
    </row>
    <row r="182" spans="1:8" hidden="1">
      <c r="A182" s="202"/>
      <c r="B182" s="209" t="s">
        <v>4156</v>
      </c>
      <c r="C182" s="235" t="str">
        <f>IFERROR(VLOOKUP(B182,'ПО КОРИСНИЦИМА'!$C$3:$J$505,5,FALSE),"")</f>
        <v/>
      </c>
      <c r="D182" s="258">
        <f>SUMIF('ПО КОРИСНИЦИМА'!$C$3:$C$544,B182,'ПО КОРИСНИЦИМА'!$H$3:$H$544)</f>
        <v>0</v>
      </c>
      <c r="E182" s="1105" t="e">
        <f t="shared" si="8"/>
        <v>#DIV/0!</v>
      </c>
      <c r="F182" s="353">
        <f>SUMIF('ПО КОРИСНИЦИМА'!$C$3:$C$544,B182,'ПО КОРИСНИЦИМА'!$I$3:$I$544)</f>
        <v>0</v>
      </c>
      <c r="G182" s="258">
        <f t="shared" si="11"/>
        <v>0</v>
      </c>
      <c r="H182" s="259"/>
    </row>
    <row r="183" spans="1:8" hidden="1">
      <c r="A183" s="202"/>
      <c r="B183" s="209" t="s">
        <v>4157</v>
      </c>
      <c r="C183" s="235" t="str">
        <f>IFERROR(VLOOKUP(B183,'ПО КОРИСНИЦИМА'!$C$3:$J$505,5,FALSE),"")</f>
        <v/>
      </c>
      <c r="D183" s="258">
        <f>SUMIF('ПО КОРИСНИЦИМА'!$C$3:$C$544,B183,'ПО КОРИСНИЦИМА'!$H$3:$H$544)</f>
        <v>0</v>
      </c>
      <c r="E183" s="1105" t="e">
        <f t="shared" si="8"/>
        <v>#DIV/0!</v>
      </c>
      <c r="F183" s="353">
        <f>SUMIF('ПО КОРИСНИЦИМА'!$C$3:$C$544,B183,'ПО КОРИСНИЦИМА'!$I$3:$I$544)</f>
        <v>0</v>
      </c>
      <c r="G183" s="258">
        <f t="shared" si="11"/>
        <v>0</v>
      </c>
      <c r="H183" s="259"/>
    </row>
    <row r="184" spans="1:8" hidden="1">
      <c r="A184" s="202"/>
      <c r="B184" s="209" t="s">
        <v>4158</v>
      </c>
      <c r="C184" s="235" t="str">
        <f>IFERROR(VLOOKUP(B184,'ПО КОРИСНИЦИМА'!$C$3:$J$505,5,FALSE),"")</f>
        <v/>
      </c>
      <c r="D184" s="258">
        <f>SUMIF('ПО КОРИСНИЦИМА'!$C$3:$C$544,B184,'ПО КОРИСНИЦИМА'!$H$3:$H$544)</f>
        <v>0</v>
      </c>
      <c r="E184" s="1105" t="e">
        <f t="shared" si="8"/>
        <v>#DIV/0!</v>
      </c>
      <c r="F184" s="353">
        <f>SUMIF('ПО КОРИСНИЦИМА'!$C$3:$C$544,B184,'ПО КОРИСНИЦИМА'!$I$3:$I$544)</f>
        <v>0</v>
      </c>
      <c r="G184" s="258">
        <f t="shared" si="11"/>
        <v>0</v>
      </c>
      <c r="H184" s="259"/>
    </row>
    <row r="185" spans="1:8" hidden="1">
      <c r="A185" s="202"/>
      <c r="B185" s="209" t="s">
        <v>4159</v>
      </c>
      <c r="C185" s="235" t="str">
        <f>IFERROR(VLOOKUP(B185,'ПО КОРИСНИЦИМА'!$C$3:$J$505,5,FALSE),"")</f>
        <v/>
      </c>
      <c r="D185" s="258">
        <f>SUMIF('ПО КОРИСНИЦИМА'!$C$3:$C$544,B185,'ПО КОРИСНИЦИМА'!$H$3:$H$544)</f>
        <v>0</v>
      </c>
      <c r="E185" s="1105" t="e">
        <f t="shared" si="8"/>
        <v>#DIV/0!</v>
      </c>
      <c r="F185" s="353">
        <f>SUMIF('ПО КОРИСНИЦИМА'!$C$3:$C$544,B185,'ПО КОРИСНИЦИМА'!$I$3:$I$544)</f>
        <v>0</v>
      </c>
      <c r="G185" s="258">
        <f t="shared" si="11"/>
        <v>0</v>
      </c>
      <c r="H185" s="259"/>
    </row>
    <row r="186" spans="1:8" hidden="1">
      <c r="A186" s="202"/>
      <c r="B186" s="209" t="s">
        <v>4160</v>
      </c>
      <c r="C186" s="235" t="str">
        <f>IFERROR(VLOOKUP(B186,'ПО КОРИСНИЦИМА'!$C$3:$J$505,5,FALSE),"")</f>
        <v/>
      </c>
      <c r="D186" s="258">
        <f>SUMIF('ПО КОРИСНИЦИМА'!$C$3:$C$544,B186,'ПО КОРИСНИЦИМА'!$H$3:$H$544)</f>
        <v>0</v>
      </c>
      <c r="E186" s="1105" t="e">
        <f t="shared" si="8"/>
        <v>#DIV/0!</v>
      </c>
      <c r="F186" s="353">
        <f>SUMIF('ПО КОРИСНИЦИМА'!$C$3:$C$544,B186,'ПО КОРИСНИЦИМА'!$I$3:$I$544)</f>
        <v>0</v>
      </c>
      <c r="G186" s="258">
        <f t="shared" si="11"/>
        <v>0</v>
      </c>
      <c r="H186" s="259"/>
    </row>
    <row r="187" spans="1:8" hidden="1">
      <c r="A187" s="202"/>
      <c r="B187" s="209" t="s">
        <v>4161</v>
      </c>
      <c r="C187" s="235" t="str">
        <f>IFERROR(VLOOKUP(B187,'ПО КОРИСНИЦИМА'!$C$3:$J$505,5,FALSE),"")</f>
        <v/>
      </c>
      <c r="D187" s="258">
        <f>SUMIF('ПО КОРИСНИЦИМА'!$C$3:$C$544,B187,'ПО КОРИСНИЦИМА'!$H$3:$H$544)</f>
        <v>0</v>
      </c>
      <c r="E187" s="1105" t="e">
        <f t="shared" si="8"/>
        <v>#DIV/0!</v>
      </c>
      <c r="F187" s="353">
        <f>SUMIF('ПО КОРИСНИЦИМА'!$C$3:$C$544,B187,'ПО КОРИСНИЦИМА'!$I$3:$I$544)</f>
        <v>0</v>
      </c>
      <c r="G187" s="258">
        <f t="shared" si="11"/>
        <v>0</v>
      </c>
      <c r="H187" s="259"/>
    </row>
    <row r="188" spans="1:8" hidden="1">
      <c r="A188" s="202"/>
      <c r="B188" s="209" t="s">
        <v>4162</v>
      </c>
      <c r="C188" s="235" t="str">
        <f>IFERROR(VLOOKUP(B188,'ПО КОРИСНИЦИМА'!$C$3:$J$505,5,FALSE),"")</f>
        <v/>
      </c>
      <c r="D188" s="258">
        <f>SUMIF('ПО КОРИСНИЦИМА'!$C$3:$C$544,B188,'ПО КОРИСНИЦИМА'!$H$3:$H$544)</f>
        <v>0</v>
      </c>
      <c r="E188" s="1105" t="e">
        <f t="shared" si="8"/>
        <v>#DIV/0!</v>
      </c>
      <c r="F188" s="353">
        <f>SUMIF('ПО КОРИСНИЦИМА'!$C$3:$C$544,B188,'ПО КОРИСНИЦИМА'!$I$3:$I$544)</f>
        <v>0</v>
      </c>
      <c r="G188" s="258">
        <f t="shared" si="11"/>
        <v>0</v>
      </c>
      <c r="H188" s="259"/>
    </row>
    <row r="189" spans="1:8" hidden="1">
      <c r="A189" s="202"/>
      <c r="B189" s="209" t="s">
        <v>4163</v>
      </c>
      <c r="C189" s="235" t="str">
        <f>IFERROR(VLOOKUP(B189,'ПО КОРИСНИЦИМА'!$C$3:$J$505,5,FALSE),"")</f>
        <v/>
      </c>
      <c r="D189" s="258">
        <f>SUMIF('ПО КОРИСНИЦИМА'!$C$3:$C$544,B189,'ПО КОРИСНИЦИМА'!$H$3:$H$544)</f>
        <v>0</v>
      </c>
      <c r="E189" s="1105" t="e">
        <f t="shared" si="8"/>
        <v>#DIV/0!</v>
      </c>
      <c r="F189" s="353">
        <f>SUMIF('ПО КОРИСНИЦИМА'!$C$3:$C$544,B189,'ПО КОРИСНИЦИМА'!$I$3:$I$544)</f>
        <v>0</v>
      </c>
      <c r="G189" s="258">
        <f t="shared" si="11"/>
        <v>0</v>
      </c>
      <c r="H189" s="259"/>
    </row>
    <row r="190" spans="1:8" hidden="1">
      <c r="A190" s="202"/>
      <c r="B190" s="209" t="s">
        <v>4164</v>
      </c>
      <c r="C190" s="235" t="str">
        <f>IFERROR(VLOOKUP(B190,'ПО КОРИСНИЦИМА'!$C$3:$J$505,5,FALSE),"")</f>
        <v/>
      </c>
      <c r="D190" s="258">
        <f>SUMIF('ПО КОРИСНИЦИМА'!$C$3:$C$544,B190,'ПО КОРИСНИЦИМА'!$H$3:$H$544)</f>
        <v>0</v>
      </c>
      <c r="E190" s="1105" t="e">
        <f t="shared" si="8"/>
        <v>#DIV/0!</v>
      </c>
      <c r="F190" s="353">
        <f>SUMIF('ПО КОРИСНИЦИМА'!$C$3:$C$544,B190,'ПО КОРИСНИЦИМА'!$I$3:$I$544)</f>
        <v>0</v>
      </c>
      <c r="G190" s="258">
        <f t="shared" si="11"/>
        <v>0</v>
      </c>
      <c r="H190" s="259"/>
    </row>
    <row r="191" spans="1:8" hidden="1">
      <c r="A191" s="202"/>
      <c r="B191" s="209" t="s">
        <v>4165</v>
      </c>
      <c r="C191" s="235" t="str">
        <f>IFERROR(VLOOKUP(B191,'ПО КОРИСНИЦИМА'!$C$3:$J$505,5,FALSE),"")</f>
        <v/>
      </c>
      <c r="D191" s="258">
        <f>SUMIF('ПО КОРИСНИЦИМА'!$C$3:$C$544,B191,'ПО КОРИСНИЦИМА'!$H$3:$H$544)</f>
        <v>0</v>
      </c>
      <c r="E191" s="1105" t="e">
        <f t="shared" si="8"/>
        <v>#DIV/0!</v>
      </c>
      <c r="F191" s="353">
        <f>SUMIF('ПО КОРИСНИЦИМА'!$C$3:$C$544,B191,'ПО КОРИСНИЦИМА'!$I$3:$I$544)</f>
        <v>0</v>
      </c>
      <c r="G191" s="258">
        <f t="shared" si="11"/>
        <v>0</v>
      </c>
      <c r="H191" s="259"/>
    </row>
    <row r="192" spans="1:8" s="90" customFormat="1" ht="14.25">
      <c r="A192" s="204" t="s">
        <v>3586</v>
      </c>
      <c r="B192" s="205"/>
      <c r="C192" s="233" t="s">
        <v>4420</v>
      </c>
      <c r="D192" s="255">
        <f>SUM(D193:D213)</f>
        <v>21500000</v>
      </c>
      <c r="E192" s="1110">
        <f t="shared" si="8"/>
        <v>58.006405767441862</v>
      </c>
      <c r="F192" s="445">
        <f>SUM(F193:F213)</f>
        <v>12471377.24</v>
      </c>
      <c r="G192" s="255">
        <f>D192-F192</f>
        <v>9028622.7599999998</v>
      </c>
      <c r="H192" s="256"/>
    </row>
    <row r="193" spans="1:8">
      <c r="A193" s="203"/>
      <c r="B193" s="209" t="s">
        <v>4045</v>
      </c>
      <c r="C193" s="239" t="s">
        <v>3976</v>
      </c>
      <c r="D193" s="258">
        <f>SUMIF('ПО КОРИСНИЦИМА'!$C$3:$C$544,B193,'ПО КОРИСНИЦИМА'!$H$3:$H$544)</f>
        <v>21500000</v>
      </c>
      <c r="E193" s="1109">
        <f t="shared" si="8"/>
        <v>58.006405767441862</v>
      </c>
      <c r="F193" s="353">
        <f>SUMIF('ПО КОРИСНИЦИМА'!$C$3:$C$544,B193,'ПО КОРИСНИЦИМА'!$I$3:$I$544)</f>
        <v>12471377.24</v>
      </c>
      <c r="G193" s="258">
        <f>D193-F193</f>
        <v>9028622.7599999998</v>
      </c>
      <c r="H193" s="259"/>
    </row>
    <row r="194" spans="1:8" hidden="1">
      <c r="A194" s="92"/>
      <c r="B194" s="92" t="s">
        <v>4166</v>
      </c>
      <c r="C194" s="525" t="str">
        <f>IFERROR(VLOOKUP(B194,'ПО КОРИСНИЦИМА'!$C$3:$J$505,5,FALSE),"")</f>
        <v/>
      </c>
      <c r="D194" s="258">
        <f>SUMIF('ПО КОРИСНИЦИМА'!$C$3:$C$544,B194,'ПО КОРИСНИЦИМА'!$H$3:$H$544)</f>
        <v>0</v>
      </c>
      <c r="E194" s="1105" t="e">
        <f t="shared" si="8"/>
        <v>#DIV/0!</v>
      </c>
      <c r="F194" s="353">
        <f>SUMIF('ПО КОРИСНИЦИМА'!$C$3:$C$544,B194,'ПО КОРИСНИЦИМА'!$I$3:$I$544)</f>
        <v>0</v>
      </c>
      <c r="G194" s="258">
        <f t="shared" ref="G194:G213" si="12">D194+F194</f>
        <v>0</v>
      </c>
      <c r="H194" s="262"/>
    </row>
    <row r="195" spans="1:8" hidden="1">
      <c r="A195" s="92"/>
      <c r="B195" s="92" t="s">
        <v>4513</v>
      </c>
      <c r="C195" s="235" t="str">
        <f>IFERROR(VLOOKUP(B195,'ПО КОРИСНИЦИМА'!$C$3:$J$505,5,FALSE),"")</f>
        <v/>
      </c>
      <c r="D195" s="251">
        <f>SUMIF('ПО КОРИСНИЦИМА'!$G$3:$G$505,"Свега за пројекат 2003-П6:",'ПО КОРИСНИЦИМА'!$H$3:$H$505)</f>
        <v>0</v>
      </c>
      <c r="E195" s="1105" t="e">
        <f t="shared" si="8"/>
        <v>#DIV/0!</v>
      </c>
      <c r="F195" s="1085">
        <f>SUMIF('ПО КОРИСНИЦИМА'!$G$3:$G$505,"Свега за пројекат 2003-П6:",'ПО КОРИСНИЦИМА'!$I$3:$I$505)</f>
        <v>0</v>
      </c>
      <c r="G195" s="258">
        <f t="shared" si="12"/>
        <v>0</v>
      </c>
      <c r="H195" s="261"/>
    </row>
    <row r="196" spans="1:8" hidden="1">
      <c r="A196" s="92"/>
      <c r="B196" s="92" t="s">
        <v>4514</v>
      </c>
      <c r="C196" s="235" t="str">
        <f>IFERROR(VLOOKUP(B196,'ПО КОРИСНИЦИМА'!$C$3:$J$505,5,FALSE),"")</f>
        <v/>
      </c>
      <c r="D196" s="251">
        <f>SUMIF('ПО КОРИСНИЦИМА'!$G$3:$G$505,"Свега за пројекат 2003-П7:",'ПО КОРИСНИЦИМА'!$H$3:$H$505)</f>
        <v>0</v>
      </c>
      <c r="E196" s="1105" t="e">
        <f t="shared" si="8"/>
        <v>#DIV/0!</v>
      </c>
      <c r="F196" s="1085">
        <f>SUMIF('ПО КОРИСНИЦИМА'!$G$3:$G$505,"Свега за пројекат 2003-П7:",'ПО КОРИСНИЦИМА'!$I$3:$I$505)</f>
        <v>0</v>
      </c>
      <c r="G196" s="258">
        <f t="shared" si="12"/>
        <v>0</v>
      </c>
      <c r="H196" s="261"/>
    </row>
    <row r="197" spans="1:8" hidden="1">
      <c r="A197" s="92"/>
      <c r="B197" s="92" t="s">
        <v>4515</v>
      </c>
      <c r="C197" s="235" t="str">
        <f>IFERROR(VLOOKUP(B197,'ПО КОРИСНИЦИМА'!$C$3:$J$505,5,FALSE),"")</f>
        <v/>
      </c>
      <c r="D197" s="251">
        <f>SUMIF('ПО КОРИСНИЦИМА'!$G$3:$G$505,"Свега за пројекат 2003-П8:",'ПО КОРИСНИЦИМА'!$H$3:$H$505)</f>
        <v>0</v>
      </c>
      <c r="E197" s="1105" t="e">
        <f t="shared" si="8"/>
        <v>#DIV/0!</v>
      </c>
      <c r="F197" s="1085">
        <f>SUMIF('ПО КОРИСНИЦИМА'!$G$3:$G$505,"Свега за пројекат 2003-П8:",'ПО КОРИСНИЦИМА'!$I$3:$I$505)</f>
        <v>0</v>
      </c>
      <c r="G197" s="258">
        <f t="shared" si="12"/>
        <v>0</v>
      </c>
      <c r="H197" s="261"/>
    </row>
    <row r="198" spans="1:8" hidden="1">
      <c r="A198" s="92"/>
      <c r="B198" s="92" t="s">
        <v>4516</v>
      </c>
      <c r="C198" s="235" t="str">
        <f>IFERROR(VLOOKUP(B198,'ПО КОРИСНИЦИМА'!$C$3:$J$505,5,FALSE),"")</f>
        <v/>
      </c>
      <c r="D198" s="251">
        <f>SUMIF('ПО КОРИСНИЦИМА'!$G$3:$G$505,"Свега за пројекат 2003-П9:",'ПО КОРИСНИЦИМА'!$H$3:$H$505)</f>
        <v>0</v>
      </c>
      <c r="E198" s="1105" t="e">
        <f t="shared" ref="E198:E261" si="13">F198/D198*100</f>
        <v>#DIV/0!</v>
      </c>
      <c r="F198" s="1085">
        <f>SUMIF('ПО КОРИСНИЦИМА'!$G$3:$G$505,"Свега за пројекат 2003-П9:",'ПО КОРИСНИЦИМА'!$I$3:$I$505)</f>
        <v>0</v>
      </c>
      <c r="G198" s="258">
        <f t="shared" si="12"/>
        <v>0</v>
      </c>
      <c r="H198" s="261"/>
    </row>
    <row r="199" spans="1:8" hidden="1">
      <c r="A199" s="92"/>
      <c r="B199" s="92" t="s">
        <v>4167</v>
      </c>
      <c r="C199" s="235" t="str">
        <f>IFERROR(VLOOKUP(B199,'ПО КОРИСНИЦИМА'!$C$3:$J$505,5,FALSE),"")</f>
        <v/>
      </c>
      <c r="D199" s="251">
        <f>SUMIF('ПО КОРИСНИЦИМА'!$G$3:$G$505,"Свега за пројекат 2003-П10:",'ПО КОРИСНИЦИМА'!$H$3:$H$505)</f>
        <v>0</v>
      </c>
      <c r="E199" s="1105" t="e">
        <f t="shared" si="13"/>
        <v>#DIV/0!</v>
      </c>
      <c r="F199" s="1085">
        <f>SUMIF('ПО КОРИСНИЦИМА'!$G$3:$G$505,"Свега за пројекат 2003-П10:",'ПО КОРИСНИЦИМА'!$I$3:$I$505)</f>
        <v>0</v>
      </c>
      <c r="G199" s="258">
        <f t="shared" si="12"/>
        <v>0</v>
      </c>
      <c r="H199" s="261"/>
    </row>
    <row r="200" spans="1:8" hidden="1">
      <c r="A200" s="92"/>
      <c r="B200" s="92" t="s">
        <v>4168</v>
      </c>
      <c r="C200" s="235" t="str">
        <f>IFERROR(VLOOKUP(B200,'ПО КОРИСНИЦИМА'!$C$3:$J$505,5,FALSE),"")</f>
        <v/>
      </c>
      <c r="D200" s="251">
        <f>SUMIF('ПО КОРИСНИЦИМА'!$G$3:$G$505,"Свега за пројекат 2003-П11:",'ПО КОРИСНИЦИМА'!$H$3:$H$505)</f>
        <v>0</v>
      </c>
      <c r="E200" s="1105" t="e">
        <f t="shared" si="13"/>
        <v>#DIV/0!</v>
      </c>
      <c r="F200" s="1085">
        <f>SUMIF('ПО КОРИСНИЦИМА'!$G$3:$G$505,"Свега за пројекат 2003-П11:",'ПО КОРИСНИЦИМА'!$I$3:$I$505)</f>
        <v>0</v>
      </c>
      <c r="G200" s="258">
        <f t="shared" si="12"/>
        <v>0</v>
      </c>
      <c r="H200" s="261"/>
    </row>
    <row r="201" spans="1:8" hidden="1">
      <c r="A201" s="92"/>
      <c r="B201" s="92" t="s">
        <v>4169</v>
      </c>
      <c r="C201" s="235" t="str">
        <f>IFERROR(VLOOKUP(B201,'ПО КОРИСНИЦИМА'!$C$3:$J$505,5,FALSE),"")</f>
        <v/>
      </c>
      <c r="D201" s="251">
        <f>SUMIF('ПО КОРИСНИЦИМА'!$G$3:$G$505,"Свега за пројекат 2003-П12:",'ПО КОРИСНИЦИМА'!$H$3:$H$505)</f>
        <v>0</v>
      </c>
      <c r="E201" s="1105" t="e">
        <f t="shared" si="13"/>
        <v>#DIV/0!</v>
      </c>
      <c r="F201" s="1085">
        <f>SUMIF('ПО КОРИСНИЦИМА'!$G$3:$G$505,"Свега за пројекат 2003-П12:",'ПО КОРИСНИЦИМА'!$I$3:$I$505)</f>
        <v>0</v>
      </c>
      <c r="G201" s="258">
        <f t="shared" si="12"/>
        <v>0</v>
      </c>
      <c r="H201" s="261"/>
    </row>
    <row r="202" spans="1:8" hidden="1">
      <c r="A202" s="92"/>
      <c r="B202" s="92" t="s">
        <v>4170</v>
      </c>
      <c r="C202" s="235" t="str">
        <f>IFERROR(VLOOKUP(B202,'ПО КОРИСНИЦИМА'!$C$3:$J$505,5,FALSE),"")</f>
        <v/>
      </c>
      <c r="D202" s="251">
        <f>SUMIF('ПО КОРИСНИЦИМА'!$G$3:$G$505,"Свега за пројекат 2003-П13:",'ПО КОРИСНИЦИМА'!$H$3:$H$505)</f>
        <v>0</v>
      </c>
      <c r="E202" s="1105" t="e">
        <f t="shared" si="13"/>
        <v>#DIV/0!</v>
      </c>
      <c r="F202" s="1085">
        <f>SUMIF('ПО КОРИСНИЦИМА'!$G$3:$G$505,"Свега за пројекат 2003-П13:",'ПО КОРИСНИЦИМА'!$I$3:$I$505)</f>
        <v>0</v>
      </c>
      <c r="G202" s="258">
        <f t="shared" si="12"/>
        <v>0</v>
      </c>
      <c r="H202" s="261"/>
    </row>
    <row r="203" spans="1:8" hidden="1">
      <c r="A203" s="92"/>
      <c r="B203" s="92" t="s">
        <v>4171</v>
      </c>
      <c r="C203" s="235" t="str">
        <f>IFERROR(VLOOKUP(B203,'ПО КОРИСНИЦИМА'!$C$3:$J$505,5,FALSE),"")</f>
        <v/>
      </c>
      <c r="D203" s="251">
        <f>SUMIF('ПО КОРИСНИЦИМА'!$G$3:$G$505,"Свега за пројекат 2003-П14:",'ПО КОРИСНИЦИМА'!$H$3:$H$505)</f>
        <v>0</v>
      </c>
      <c r="E203" s="1105" t="e">
        <f t="shared" si="13"/>
        <v>#DIV/0!</v>
      </c>
      <c r="F203" s="1085">
        <f>SUMIF('ПО КОРИСНИЦИМА'!$G$3:$G$505,"Свега за пројекат 2003-П14:",'ПО КОРИСНИЦИМА'!$I$3:$I$505)</f>
        <v>0</v>
      </c>
      <c r="G203" s="258">
        <f t="shared" si="12"/>
        <v>0</v>
      </c>
      <c r="H203" s="261"/>
    </row>
    <row r="204" spans="1:8" hidden="1">
      <c r="A204" s="92"/>
      <c r="B204" s="92" t="s">
        <v>4172</v>
      </c>
      <c r="C204" s="235" t="str">
        <f>IFERROR(VLOOKUP(B204,'ПО КОРИСНИЦИМА'!$C$3:$J$505,5,FALSE),"")</f>
        <v/>
      </c>
      <c r="D204" s="251">
        <f>SUMIF('ПО КОРИСНИЦИМА'!$G$3:$G$505,"Свега за пројекат 2003-П15:",'ПО КОРИСНИЦИМА'!$H$3:$H$505)</f>
        <v>0</v>
      </c>
      <c r="E204" s="1105" t="e">
        <f t="shared" si="13"/>
        <v>#DIV/0!</v>
      </c>
      <c r="F204" s="1085">
        <f>SUMIF('ПО КОРИСНИЦИМА'!$G$3:$G$505,"Свега за пројекат 2003-П15:",'ПО КОРИСНИЦИМА'!$I$3:$I$505)</f>
        <v>0</v>
      </c>
      <c r="G204" s="258">
        <f t="shared" si="12"/>
        <v>0</v>
      </c>
      <c r="H204" s="261"/>
    </row>
    <row r="205" spans="1:8" hidden="1">
      <c r="A205" s="92"/>
      <c r="B205" s="92" t="s">
        <v>4173</v>
      </c>
      <c r="C205" s="235" t="str">
        <f>IFERROR(VLOOKUP(B205,'ПО КОРИСНИЦИМА'!$C$3:$J$505,5,FALSE),"")</f>
        <v/>
      </c>
      <c r="D205" s="251">
        <f>SUMIF('ПО КОРИСНИЦИМА'!$G$3:$G$505,"Свега за пројекат 2003-П16:",'ПО КОРИСНИЦИМА'!$H$3:$H$505)</f>
        <v>0</v>
      </c>
      <c r="E205" s="1105" t="e">
        <f t="shared" si="13"/>
        <v>#DIV/0!</v>
      </c>
      <c r="F205" s="1085">
        <f>SUMIF('ПО КОРИСНИЦИМА'!$G$3:$G$505,"Свега за пројекат 2003-П16:",'ПО КОРИСНИЦИМА'!$I$3:$I$505)</f>
        <v>0</v>
      </c>
      <c r="G205" s="258">
        <f t="shared" si="12"/>
        <v>0</v>
      </c>
      <c r="H205" s="261"/>
    </row>
    <row r="206" spans="1:8" hidden="1">
      <c r="A206" s="92"/>
      <c r="B206" s="92" t="s">
        <v>4174</v>
      </c>
      <c r="C206" s="235" t="str">
        <f>IFERROR(VLOOKUP(B206,'ПО КОРИСНИЦИМА'!$C$3:$J$505,5,FALSE),"")</f>
        <v/>
      </c>
      <c r="D206" s="251">
        <f>SUMIF('ПО КОРИСНИЦИМА'!$G$3:$G$505,"Свега за пројекат 2003-П17:",'ПО КОРИСНИЦИМА'!$H$3:$H$505)</f>
        <v>0</v>
      </c>
      <c r="E206" s="1105" t="e">
        <f t="shared" si="13"/>
        <v>#DIV/0!</v>
      </c>
      <c r="F206" s="1085">
        <f>SUMIF('ПО КОРИСНИЦИМА'!$G$3:$G$505,"Свега за пројекат 2003-П17:",'ПО КОРИСНИЦИМА'!$I$3:$I$505)</f>
        <v>0</v>
      </c>
      <c r="G206" s="258">
        <f t="shared" si="12"/>
        <v>0</v>
      </c>
      <c r="H206" s="261"/>
    </row>
    <row r="207" spans="1:8" hidden="1">
      <c r="A207" s="92"/>
      <c r="B207" s="92" t="s">
        <v>4175</v>
      </c>
      <c r="C207" s="235" t="str">
        <f>IFERROR(VLOOKUP(B207,'ПО КОРИСНИЦИМА'!$C$3:$J$505,5,FALSE),"")</f>
        <v/>
      </c>
      <c r="D207" s="251">
        <f>SUMIF('ПО КОРИСНИЦИМА'!$G$3:$G$505,"Свега за пројекат 2003-П18:",'ПО КОРИСНИЦИМА'!$H$3:$H$505)</f>
        <v>0</v>
      </c>
      <c r="E207" s="1105" t="e">
        <f t="shared" si="13"/>
        <v>#DIV/0!</v>
      </c>
      <c r="F207" s="1085">
        <f>SUMIF('ПО КОРИСНИЦИМА'!$G$3:$G$505,"Свега за пројекат 2003-П18:",'ПО КОРИСНИЦИМА'!$I$3:$I$505)</f>
        <v>0</v>
      </c>
      <c r="G207" s="258">
        <f t="shared" si="12"/>
        <v>0</v>
      </c>
      <c r="H207" s="261"/>
    </row>
    <row r="208" spans="1:8" hidden="1">
      <c r="A208" s="92"/>
      <c r="B208" s="92" t="s">
        <v>4176</v>
      </c>
      <c r="C208" s="235" t="str">
        <f>IFERROR(VLOOKUP(B208,'ПО КОРИСНИЦИМА'!$C$3:$J$505,5,FALSE),"")</f>
        <v/>
      </c>
      <c r="D208" s="251">
        <f>SUMIF('ПО КОРИСНИЦИМА'!$G$3:$G$505,"Свега за пројекат 2003-П19:",'ПО КОРИСНИЦИМА'!$H$3:$H$505)</f>
        <v>0</v>
      </c>
      <c r="E208" s="1105" t="e">
        <f t="shared" si="13"/>
        <v>#DIV/0!</v>
      </c>
      <c r="F208" s="1085">
        <f>SUMIF('ПО КОРИСНИЦИМА'!$G$3:$G$505,"Свега за пројекат 2003-П19:",'ПО КОРИСНИЦИМА'!$I$3:$I$505)</f>
        <v>0</v>
      </c>
      <c r="G208" s="258">
        <f t="shared" si="12"/>
        <v>0</v>
      </c>
      <c r="H208" s="261"/>
    </row>
    <row r="209" spans="1:8" hidden="1">
      <c r="A209" s="92"/>
      <c r="B209" s="92" t="s">
        <v>4177</v>
      </c>
      <c r="C209" s="235" t="str">
        <f>IFERROR(VLOOKUP(B209,'ПО КОРИСНИЦИМА'!$C$3:$J$505,5,FALSE),"")</f>
        <v/>
      </c>
      <c r="D209" s="251">
        <f>SUMIF('ПО КОРИСНИЦИМА'!$G$3:$G$505,"Свега за пројекат 2003-П20:",'ПО КОРИСНИЦИМА'!$H$3:$H$505)</f>
        <v>0</v>
      </c>
      <c r="E209" s="1105" t="e">
        <f t="shared" si="13"/>
        <v>#DIV/0!</v>
      </c>
      <c r="F209" s="1085">
        <f>SUMIF('ПО КОРИСНИЦИМА'!$G$3:$G$505,"Свега за пројекат 2003-П20:",'ПО КОРИСНИЦИМА'!$I$3:$I$505)</f>
        <v>0</v>
      </c>
      <c r="G209" s="258">
        <f t="shared" si="12"/>
        <v>0</v>
      </c>
      <c r="H209" s="261"/>
    </row>
    <row r="210" spans="1:8" hidden="1">
      <c r="A210" s="92"/>
      <c r="B210" s="92" t="s">
        <v>4178</v>
      </c>
      <c r="C210" s="235" t="str">
        <f>IFERROR(VLOOKUP(B210,'ПО КОРИСНИЦИМА'!$C$3:$J$505,5,FALSE),"")</f>
        <v/>
      </c>
      <c r="D210" s="251">
        <f>SUMIF('ПО КОРИСНИЦИМА'!$G$3:$G$505,"Свега за пројекат 2003-П21:",'ПО КОРИСНИЦИМА'!$H$3:$H$505)</f>
        <v>0</v>
      </c>
      <c r="E210" s="1105" t="e">
        <f t="shared" si="13"/>
        <v>#DIV/0!</v>
      </c>
      <c r="F210" s="1085">
        <f>SUMIF('ПО КОРИСНИЦИМА'!$G$3:$G$505,"Свега за пројекат 2003-П21:",'ПО КОРИСНИЦИМА'!$I$3:$I$505)</f>
        <v>0</v>
      </c>
      <c r="G210" s="258">
        <f t="shared" si="12"/>
        <v>0</v>
      </c>
      <c r="H210" s="261"/>
    </row>
    <row r="211" spans="1:8" hidden="1">
      <c r="A211" s="92"/>
      <c r="B211" s="92" t="s">
        <v>4179</v>
      </c>
      <c r="C211" s="235" t="str">
        <f>IFERROR(VLOOKUP(B211,'ПО КОРИСНИЦИМА'!$C$3:$J$505,5,FALSE),"")</f>
        <v/>
      </c>
      <c r="D211" s="251">
        <f>SUMIF('ПО КОРИСНИЦИМА'!$G$3:$G$505,"Свега за пројекат 2003-П22:",'ПО КОРИСНИЦИМА'!$H$3:$H$505)</f>
        <v>0</v>
      </c>
      <c r="E211" s="1105" t="e">
        <f t="shared" si="13"/>
        <v>#DIV/0!</v>
      </c>
      <c r="F211" s="1085">
        <f>SUMIF('ПО КОРИСНИЦИМА'!$G$3:$G$505,"Свега за пројекат 2003-П22:",'ПО КОРИСНИЦИМА'!$I$3:$I$505)</f>
        <v>0</v>
      </c>
      <c r="G211" s="258">
        <f t="shared" si="12"/>
        <v>0</v>
      </c>
      <c r="H211" s="261"/>
    </row>
    <row r="212" spans="1:8" hidden="1">
      <c r="A212" s="92"/>
      <c r="B212" s="92" t="s">
        <v>4180</v>
      </c>
      <c r="C212" s="235" t="str">
        <f>IFERROR(VLOOKUP(B212,'ПО КОРИСНИЦИМА'!$C$3:$J$505,5,FALSE),"")</f>
        <v/>
      </c>
      <c r="D212" s="251">
        <f>SUMIF('ПО КОРИСНИЦИМА'!$G$3:$G$505,"Свега за пројекат 2003-П23:",'ПО КОРИСНИЦИМА'!$H$3:$H$505)</f>
        <v>0</v>
      </c>
      <c r="E212" s="1105" t="e">
        <f t="shared" si="13"/>
        <v>#DIV/0!</v>
      </c>
      <c r="F212" s="1085">
        <f>SUMIF('ПО КОРИСНИЦИМА'!$G$3:$G$505,"Свега за пројекат 2003-П23:",'ПО КОРИСНИЦИМА'!$I$3:$I$505)</f>
        <v>0</v>
      </c>
      <c r="G212" s="258">
        <f t="shared" si="12"/>
        <v>0</v>
      </c>
      <c r="H212" s="261"/>
    </row>
    <row r="213" spans="1:8" hidden="1">
      <c r="A213" s="92"/>
      <c r="B213" s="92" t="s">
        <v>4181</v>
      </c>
      <c r="C213" s="235" t="str">
        <f>IFERROR(VLOOKUP(B213,'ПО КОРИСНИЦИМА'!$C$3:$J$505,5,FALSE),"")</f>
        <v/>
      </c>
      <c r="D213" s="251">
        <f>SUMIF('ПО КОРИСНИЦИМА'!$G$3:$G$505,"Свега за пројекат 2003-П24:",'ПО КОРИСНИЦИМА'!$H$3:$H$505)</f>
        <v>0</v>
      </c>
      <c r="E213" s="1105" t="e">
        <f t="shared" si="13"/>
        <v>#DIV/0!</v>
      </c>
      <c r="F213" s="1085">
        <f>SUMIF('ПО КОРИСНИЦИМА'!$G$3:$G$505,"Свега за пројекат 2003-П24:",'ПО КОРИСНИЦИМА'!$I$3:$I$505)</f>
        <v>0</v>
      </c>
      <c r="G213" s="258">
        <f t="shared" si="12"/>
        <v>0</v>
      </c>
      <c r="H213" s="261"/>
    </row>
    <row r="214" spans="1:8" s="90" customFormat="1" ht="14.25">
      <c r="A214" s="204" t="s">
        <v>3589</v>
      </c>
      <c r="B214" s="205"/>
      <c r="C214" s="233" t="s">
        <v>3672</v>
      </c>
      <c r="D214" s="255">
        <f>SUM(D215:D242)</f>
        <v>60650000</v>
      </c>
      <c r="E214" s="1110">
        <f t="shared" si="13"/>
        <v>42.21381607584501</v>
      </c>
      <c r="F214" s="445">
        <f>SUM(F215:F242)</f>
        <v>25602679.449999999</v>
      </c>
      <c r="G214" s="255">
        <f>D214-F214</f>
        <v>35047320.549999997</v>
      </c>
      <c r="H214" s="256"/>
    </row>
    <row r="215" spans="1:8">
      <c r="A215" s="203"/>
      <c r="B215" s="207" t="s">
        <v>3981</v>
      </c>
      <c r="C215" s="241" t="s">
        <v>4470</v>
      </c>
      <c r="D215" s="258">
        <f>SUMIF('ПО КОРИСНИЦИМА'!$C$3:$C$544,B215,'ПО КОРИСНИЦИМА'!$H$3:$H$544)</f>
        <v>14350000</v>
      </c>
      <c r="E215" s="1109">
        <f t="shared" si="13"/>
        <v>73.821831707317074</v>
      </c>
      <c r="F215" s="353">
        <f>SUMIF('ПО КОРИСНИЦИМА'!$C$3:$C$544,B215,'ПО КОРИСНИЦИМА'!$I$3:$I$544)</f>
        <v>10593432.85</v>
      </c>
      <c r="G215" s="265">
        <f>D215-F215</f>
        <v>3756567.1500000004</v>
      </c>
      <c r="H215" s="259"/>
    </row>
    <row r="216" spans="1:8" ht="25.5" hidden="1">
      <c r="A216" s="89"/>
      <c r="B216" s="91" t="s">
        <v>3982</v>
      </c>
      <c r="C216" s="527" t="s">
        <v>4517</v>
      </c>
      <c r="D216" s="258">
        <f>SUMIF('ПО КОРИСНИЦИМА'!$C$3:$C$544,B216,'ПО КОРИСНИЦИМА'!$H$3:$H$544)</f>
        <v>0</v>
      </c>
      <c r="E216" s="1109" t="e">
        <f t="shared" si="13"/>
        <v>#DIV/0!</v>
      </c>
      <c r="F216" s="353">
        <f>SUMIF('ПО КОРИСНИЦИМА'!$C$3:$C$544,B216,'ПО КОРИСНИЦИМА'!$I$3:$I$544)</f>
        <v>0</v>
      </c>
      <c r="G216" s="265">
        <f t="shared" ref="G216:G223" si="14">D216-F216</f>
        <v>0</v>
      </c>
      <c r="H216" s="262"/>
    </row>
    <row r="217" spans="1:8">
      <c r="A217" s="89"/>
      <c r="B217" s="91" t="s">
        <v>3983</v>
      </c>
      <c r="C217" s="242" t="s">
        <v>4474</v>
      </c>
      <c r="D217" s="258">
        <f>SUMIF('ПО КОРИСНИЦИМА'!$C$3:$C$544,B217,'ПО КОРИСНИЦИМА'!$H$3:$H$544)</f>
        <v>5400000</v>
      </c>
      <c r="E217" s="1109">
        <f t="shared" si="13"/>
        <v>17.908027777777775</v>
      </c>
      <c r="F217" s="353">
        <f>SUMIF('ПО КОРИСНИЦИМА'!$C$3:$C$544,B217,'ПО КОРИСНИЦИМА'!$I$3:$I$544)</f>
        <v>967033.5</v>
      </c>
      <c r="G217" s="265">
        <f t="shared" si="14"/>
        <v>4432966.5</v>
      </c>
      <c r="H217" s="262"/>
    </row>
    <row r="218" spans="1:8" hidden="1">
      <c r="A218" s="89"/>
      <c r="B218" s="91" t="s">
        <v>3984</v>
      </c>
      <c r="C218" s="242" t="s">
        <v>3985</v>
      </c>
      <c r="D218" s="258">
        <f>SUMIF('ПО КОРИСНИЦИМА'!$C$3:$C$544,B218,'ПО КОРИСНИЦИМА'!$H$3:$H$544)</f>
        <v>0</v>
      </c>
      <c r="E218" s="1109" t="e">
        <f t="shared" si="13"/>
        <v>#DIV/0!</v>
      </c>
      <c r="F218" s="353">
        <f>SUMIF('ПО КОРИСНИЦИМА'!$C$3:$C$544,B218,'ПО КОРИСНИЦИМА'!$I$3:$I$544)</f>
        <v>0</v>
      </c>
      <c r="G218" s="265">
        <f t="shared" si="14"/>
        <v>0</v>
      </c>
      <c r="H218" s="262"/>
    </row>
    <row r="219" spans="1:8">
      <c r="A219" s="89"/>
      <c r="B219" s="91" t="s">
        <v>3986</v>
      </c>
      <c r="C219" s="242" t="s">
        <v>4423</v>
      </c>
      <c r="D219" s="258">
        <f>SUMIF('ПО КОРИСНИЦИМА'!$C$3:$C$544,B219,'ПО КОРИСНИЦИМА'!$H$3:$H$544)</f>
        <v>5300000</v>
      </c>
      <c r="E219" s="1109">
        <f t="shared" si="13"/>
        <v>72.001619622641513</v>
      </c>
      <c r="F219" s="353">
        <f>SUMIF('ПО КОРИСНИЦИМА'!$C$3:$C$544,B219,'ПО КОРИСНИЦИМА'!$I$3:$I$544)</f>
        <v>3816085.84</v>
      </c>
      <c r="G219" s="265">
        <f t="shared" si="14"/>
        <v>1483914.1600000001</v>
      </c>
      <c r="H219" s="262"/>
    </row>
    <row r="220" spans="1:8">
      <c r="A220" s="89"/>
      <c r="B220" s="91" t="s">
        <v>4259</v>
      </c>
      <c r="C220" s="242" t="s">
        <v>4364</v>
      </c>
      <c r="D220" s="258">
        <f>SUMIF('ПО КОРИСНИЦИМА'!$C$3:$C$544,B220,'ПО КОРИСНИЦИМА'!$H$3:$H$544)</f>
        <v>5620000</v>
      </c>
      <c r="E220" s="1109">
        <f t="shared" si="13"/>
        <v>86.482157651245544</v>
      </c>
      <c r="F220" s="353">
        <f>SUMIF('ПО КОРИСНИЦИМА'!$C$3:$C$544,B220,'ПО КОРИСНИЦИМА'!$I$3:$I$544)</f>
        <v>4860297.26</v>
      </c>
      <c r="G220" s="265">
        <f t="shared" si="14"/>
        <v>759702.74000000022</v>
      </c>
      <c r="H220" s="262"/>
    </row>
    <row r="221" spans="1:8">
      <c r="A221" s="89"/>
      <c r="B221" s="91" t="s">
        <v>4421</v>
      </c>
      <c r="C221" s="242" t="s">
        <v>4477</v>
      </c>
      <c r="D221" s="258">
        <f>SUMIF('ПО КОРИСНИЦИМА'!$C$3:$C$544,B221,'ПО КОРИСНИЦИМА'!$H$3:$H$544)</f>
        <v>4300000</v>
      </c>
      <c r="E221" s="1109">
        <f t="shared" si="13"/>
        <v>76.744186046511629</v>
      </c>
      <c r="F221" s="353">
        <f>SUMIF('ПО КОРИСНИЦИМА'!$C$3:$C$544,B221,'ПО КОРИСНИЦИМА'!$I$3:$I$544)</f>
        <v>3300000</v>
      </c>
      <c r="G221" s="265">
        <f t="shared" si="14"/>
        <v>1000000</v>
      </c>
      <c r="H221" s="261"/>
    </row>
    <row r="222" spans="1:8">
      <c r="A222" s="89"/>
      <c r="B222" s="91" t="s">
        <v>4422</v>
      </c>
      <c r="C222" s="242" t="s">
        <v>4518</v>
      </c>
      <c r="D222" s="258">
        <f>SUMIF('ПО КОРИСНИЦИМА'!$C$3:$C$544,B222,'ПО КОРИСНИЦИМА'!$H$3:$H$544)</f>
        <v>3000000</v>
      </c>
      <c r="E222" s="1109">
        <f t="shared" si="13"/>
        <v>63.334333333333333</v>
      </c>
      <c r="F222" s="353">
        <f>SUMIF('ПО КОРИСНИЦИМА'!$C$3:$C$544,B222,'ПО КОРИСНИЦИМА'!$I$3:$I$544)</f>
        <v>1900030</v>
      </c>
      <c r="G222" s="265">
        <f t="shared" si="14"/>
        <v>1099970</v>
      </c>
      <c r="H222" s="261"/>
    </row>
    <row r="223" spans="1:8">
      <c r="A223" s="89"/>
      <c r="B223" s="91" t="s">
        <v>4182</v>
      </c>
      <c r="C223" s="235" t="s">
        <v>4675</v>
      </c>
      <c r="D223" s="258">
        <f>SUMIF('ПО КОРИСНИЦИМА'!$C$3:$C$544,B223,'ПО КОРИСНИЦИМА'!$H$3:$H$544)</f>
        <v>22680000</v>
      </c>
      <c r="E223" s="1109">
        <f t="shared" si="13"/>
        <v>0.73104056437389764</v>
      </c>
      <c r="F223" s="353">
        <f>SUMIF('ПО КОРИСНИЦИМА'!$C$3:$C$544,B223,'ПО КОРИСНИЦИМА'!$I$3:$I$544)</f>
        <v>165800</v>
      </c>
      <c r="G223" s="265">
        <f t="shared" si="14"/>
        <v>22514200</v>
      </c>
      <c r="H223" s="262"/>
    </row>
    <row r="224" spans="1:8" hidden="1">
      <c r="A224" s="89"/>
      <c r="B224" s="91" t="s">
        <v>4183</v>
      </c>
      <c r="C224" s="235"/>
      <c r="D224" s="258">
        <f>SUMIF('ПО КОРИСНИЦИМА'!$C$3:$C$544,B224,'ПО КОРИСНИЦИМА'!$H$3:$H$544)</f>
        <v>0</v>
      </c>
      <c r="E224" s="1105" t="e">
        <f t="shared" si="13"/>
        <v>#DIV/0!</v>
      </c>
      <c r="F224" s="353">
        <f>SUMIF('ПО КОРИСНИЦИМА'!$C$3:$C$544,B224,'ПО КОРИСНИЦИМА'!$I$3:$I$544)</f>
        <v>0</v>
      </c>
      <c r="G224" s="265">
        <f>D224+F224</f>
        <v>0</v>
      </c>
      <c r="H224" s="262"/>
    </row>
    <row r="225" spans="1:8" hidden="1">
      <c r="A225" s="89"/>
      <c r="B225" s="91" t="s">
        <v>4184</v>
      </c>
      <c r="C225" s="235"/>
      <c r="D225" s="258">
        <f>SUMIF('ПО КОРИСНИЦИМА'!$C$3:$C$544,B225,'ПО КОРИСНИЦИМА'!$H$3:$H$544)</f>
        <v>0</v>
      </c>
      <c r="E225" s="1105" t="e">
        <f t="shared" si="13"/>
        <v>#DIV/0!</v>
      </c>
      <c r="F225" s="353">
        <f>SUMIF('ПО КОРИСНИЦИМА'!$C$3:$C$544,B225,'ПО КОРИСНИЦИМА'!$I$3:$I$544)</f>
        <v>0</v>
      </c>
      <c r="G225" s="265">
        <f t="shared" ref="G225:G242" si="15">D225+F225</f>
        <v>0</v>
      </c>
      <c r="H225" s="261"/>
    </row>
    <row r="226" spans="1:8" hidden="1">
      <c r="A226" s="89"/>
      <c r="B226" s="91" t="s">
        <v>4185</v>
      </c>
      <c r="C226" s="235" t="str">
        <f>IFERROR(VLOOKUP(B226,'ПО КОРИСНИЦИМА'!$C$3:$J$505,5,FALSE),"")</f>
        <v/>
      </c>
      <c r="D226" s="258">
        <f>SUMIF('ПО КОРИСНИЦИМА'!$C$3:$C$544,B226,'ПО КОРИСНИЦИМА'!$H$3:$H$544)</f>
        <v>0</v>
      </c>
      <c r="E226" s="1105" t="e">
        <f t="shared" si="13"/>
        <v>#DIV/0!</v>
      </c>
      <c r="F226" s="353">
        <f>SUMIF('ПО КОРИСНИЦИМА'!$C$3:$C$544,B226,'ПО КОРИСНИЦИМА'!$I$3:$I$544)</f>
        <v>0</v>
      </c>
      <c r="G226" s="265">
        <f t="shared" si="15"/>
        <v>0</v>
      </c>
      <c r="H226" s="261"/>
    </row>
    <row r="227" spans="1:8" hidden="1">
      <c r="A227" s="89"/>
      <c r="B227" s="91" t="s">
        <v>4519</v>
      </c>
      <c r="C227" s="235" t="str">
        <f>IFERROR(VLOOKUP(B227,'ПО КОРИСНИЦИМА'!$C$3:$J$505,5,FALSE),"")</f>
        <v/>
      </c>
      <c r="D227" s="251">
        <f>SUMIF('ПО КОРИСНИЦИМА'!$G$3:$G$505,"Свега за пројекат 0901-П6:",'ПО КОРИСНИЦИМА'!$H$3:$H$505)</f>
        <v>0</v>
      </c>
      <c r="E227" s="1105" t="e">
        <f t="shared" si="13"/>
        <v>#DIV/0!</v>
      </c>
      <c r="F227" s="1085">
        <f>SUMIF('ПО КОРИСНИЦИМА'!$G$3:$G$505,"Свега за пројекат 0901-П6:",'ПО КОРИСНИЦИМА'!$I$3:$I$505)</f>
        <v>0</v>
      </c>
      <c r="G227" s="265">
        <f t="shared" si="15"/>
        <v>0</v>
      </c>
      <c r="H227" s="261"/>
    </row>
    <row r="228" spans="1:8" hidden="1">
      <c r="A228" s="89"/>
      <c r="B228" s="91" t="s">
        <v>4186</v>
      </c>
      <c r="C228" s="235" t="str">
        <f>IFERROR(VLOOKUP(B228,'ПО КОРИСНИЦИМА'!$C$3:$J$505,5,FALSE),"")</f>
        <v/>
      </c>
      <c r="D228" s="251">
        <f>SUMIF('ПО КОРИСНИЦИМА'!$G$3:$G$505,"Свега за пројекат 0901-П7:",'ПО КОРИСНИЦИМА'!$H$3:$H$505)</f>
        <v>0</v>
      </c>
      <c r="E228" s="1105" t="e">
        <f t="shared" si="13"/>
        <v>#DIV/0!</v>
      </c>
      <c r="F228" s="1085">
        <f>SUMIF('ПО КОРИСНИЦИМА'!$G$3:$G$505,"Свега за пројекат 0901-П7:",'ПО КОРИСНИЦИМА'!$I$3:$I$505)</f>
        <v>0</v>
      </c>
      <c r="G228" s="265">
        <f t="shared" si="15"/>
        <v>0</v>
      </c>
      <c r="H228" s="261"/>
    </row>
    <row r="229" spans="1:8" hidden="1">
      <c r="A229" s="89"/>
      <c r="B229" s="91" t="s">
        <v>4187</v>
      </c>
      <c r="C229" s="235" t="str">
        <f>IFERROR(VLOOKUP(B229,'ПО КОРИСНИЦИМА'!$C$3:$J$505,5,FALSE),"")</f>
        <v/>
      </c>
      <c r="D229" s="251">
        <f>SUMIF('ПО КОРИСНИЦИМА'!$G$3:$G$505,"Свега за пројекат 0901-П8:",'ПО КОРИСНИЦИМА'!$H$3:$H$505)</f>
        <v>0</v>
      </c>
      <c r="E229" s="1105" t="e">
        <f t="shared" si="13"/>
        <v>#DIV/0!</v>
      </c>
      <c r="F229" s="1085">
        <f>SUMIF('ПО КОРИСНИЦИМА'!$G$3:$G$505,"Свега за пројекат 0901-П8:",'ПО КОРИСНИЦИМА'!$I$3:$I$505)</f>
        <v>0</v>
      </c>
      <c r="G229" s="265">
        <f t="shared" si="15"/>
        <v>0</v>
      </c>
      <c r="H229" s="261"/>
    </row>
    <row r="230" spans="1:8" hidden="1">
      <c r="A230" s="89"/>
      <c r="B230" s="91" t="s">
        <v>4188</v>
      </c>
      <c r="C230" s="235" t="str">
        <f>IFERROR(VLOOKUP(B230,'ПО КОРИСНИЦИМА'!$C$3:$J$505,5,FALSE),"")</f>
        <v/>
      </c>
      <c r="D230" s="251">
        <f>SUMIF('ПО КОРИСНИЦИМА'!$G$3:$G$505,"Свега за пројекат 0901-П9:",'ПО КОРИСНИЦИМА'!$H$3:$H$505)</f>
        <v>0</v>
      </c>
      <c r="E230" s="1105" t="e">
        <f t="shared" si="13"/>
        <v>#DIV/0!</v>
      </c>
      <c r="F230" s="1085">
        <f>SUMIF('ПО КОРИСНИЦИМА'!$G$3:$G$505,"Свега за пројекат 0901-П9:",'ПО КОРИСНИЦИМА'!$I$3:$I$505)</f>
        <v>0</v>
      </c>
      <c r="G230" s="265">
        <f t="shared" si="15"/>
        <v>0</v>
      </c>
      <c r="H230" s="261"/>
    </row>
    <row r="231" spans="1:8" hidden="1">
      <c r="A231" s="89"/>
      <c r="B231" s="91" t="s">
        <v>4189</v>
      </c>
      <c r="C231" s="235" t="str">
        <f>IFERROR(VLOOKUP(B231,'ПО КОРИСНИЦИМА'!$C$3:$J$505,5,FALSE),"")</f>
        <v/>
      </c>
      <c r="D231" s="251">
        <f>SUMIF('ПО КОРИСНИЦИМА'!$G$3:$G$505,"Свега за пројекат 0901-П10:",'ПО КОРИСНИЦИМА'!$H$3:$H$505)</f>
        <v>0</v>
      </c>
      <c r="E231" s="1105" t="e">
        <f t="shared" si="13"/>
        <v>#DIV/0!</v>
      </c>
      <c r="F231" s="1085">
        <f>SUMIF('ПО КОРИСНИЦИМА'!$G$3:$G$505,"Свега за пројекат 0901-П10:",'ПО КОРИСНИЦИМА'!$I$3:$I$505)</f>
        <v>0</v>
      </c>
      <c r="G231" s="265">
        <f t="shared" si="15"/>
        <v>0</v>
      </c>
      <c r="H231" s="261"/>
    </row>
    <row r="232" spans="1:8" hidden="1">
      <c r="A232" s="89"/>
      <c r="B232" s="91" t="s">
        <v>4190</v>
      </c>
      <c r="C232" s="235" t="str">
        <f>IFERROR(VLOOKUP(B232,'ПО КОРИСНИЦИМА'!$C$3:$J$505,5,FALSE),"")</f>
        <v/>
      </c>
      <c r="D232" s="251">
        <f>SUMIF('ПО КОРИСНИЦИМА'!$G$3:$G$505,"Свега за пројекат 0901-П11:",'ПО КОРИСНИЦИМА'!$H$3:$H$505)</f>
        <v>0</v>
      </c>
      <c r="E232" s="1105" t="e">
        <f t="shared" si="13"/>
        <v>#DIV/0!</v>
      </c>
      <c r="F232" s="1085">
        <f>SUMIF('ПО КОРИСНИЦИМА'!$G$3:$G$505,"Свега за пројекат 0901-П11:",'ПО КОРИСНИЦИМА'!$I$3:$I$505)</f>
        <v>0</v>
      </c>
      <c r="G232" s="265">
        <f t="shared" si="15"/>
        <v>0</v>
      </c>
      <c r="H232" s="261"/>
    </row>
    <row r="233" spans="1:8" hidden="1">
      <c r="A233" s="89"/>
      <c r="B233" s="91" t="s">
        <v>4191</v>
      </c>
      <c r="C233" s="235" t="str">
        <f>IFERROR(VLOOKUP(B233,'ПО КОРИСНИЦИМА'!$C$3:$J$505,5,FALSE),"")</f>
        <v/>
      </c>
      <c r="D233" s="251">
        <f>SUMIF('ПО КОРИСНИЦИМА'!$G$3:$G$505,"Свега за пројекат 0901-П12:",'ПО КОРИСНИЦИМА'!$H$3:$H$505)</f>
        <v>0</v>
      </c>
      <c r="E233" s="1105" t="e">
        <f t="shared" si="13"/>
        <v>#DIV/0!</v>
      </c>
      <c r="F233" s="1085">
        <f>SUMIF('ПО КОРИСНИЦИМА'!$G$3:$G$505,"Свега за пројекат 0901-П12:",'ПО КОРИСНИЦИМА'!$I$3:$I$505)</f>
        <v>0</v>
      </c>
      <c r="G233" s="265">
        <f t="shared" si="15"/>
        <v>0</v>
      </c>
      <c r="H233" s="261"/>
    </row>
    <row r="234" spans="1:8" hidden="1">
      <c r="A234" s="89"/>
      <c r="B234" s="91" t="s">
        <v>4192</v>
      </c>
      <c r="C234" s="235" t="str">
        <f>IFERROR(VLOOKUP(B234,'ПО КОРИСНИЦИМА'!$C$3:$J$505,5,FALSE),"")</f>
        <v/>
      </c>
      <c r="D234" s="251">
        <f>SUMIF('ПО КОРИСНИЦИМА'!$G$3:$G$505,"Свега за пројекат 0901-П13:",'ПО КОРИСНИЦИМА'!$H$3:$H$505)</f>
        <v>0</v>
      </c>
      <c r="E234" s="1105" t="e">
        <f t="shared" si="13"/>
        <v>#DIV/0!</v>
      </c>
      <c r="F234" s="1085">
        <f>SUMIF('ПО КОРИСНИЦИМА'!$G$3:$G$505,"Свега за пројекат 0901-П13:",'ПО КОРИСНИЦИМА'!$I$3:$I$505)</f>
        <v>0</v>
      </c>
      <c r="G234" s="265">
        <f t="shared" si="15"/>
        <v>0</v>
      </c>
      <c r="H234" s="261"/>
    </row>
    <row r="235" spans="1:8" hidden="1">
      <c r="A235" s="89"/>
      <c r="B235" s="91" t="s">
        <v>4193</v>
      </c>
      <c r="C235" s="235" t="str">
        <f>IFERROR(VLOOKUP(B235,'ПО КОРИСНИЦИМА'!$C$3:$J$505,5,FALSE),"")</f>
        <v/>
      </c>
      <c r="D235" s="251">
        <f>SUMIF('ПО КОРИСНИЦИМА'!$G$3:$G$505,"Свега за пројекат 0901-П14:",'ПО КОРИСНИЦИМА'!$H$3:$H$505)</f>
        <v>0</v>
      </c>
      <c r="E235" s="1105" t="e">
        <f t="shared" si="13"/>
        <v>#DIV/0!</v>
      </c>
      <c r="F235" s="1085">
        <f>SUMIF('ПО КОРИСНИЦИМА'!$G$3:$G$505,"Свега за пројекат 0901-П14:",'ПО КОРИСНИЦИМА'!$I$3:$I$505)</f>
        <v>0</v>
      </c>
      <c r="G235" s="265">
        <f t="shared" si="15"/>
        <v>0</v>
      </c>
      <c r="H235" s="261"/>
    </row>
    <row r="236" spans="1:8" hidden="1">
      <c r="A236" s="89"/>
      <c r="B236" s="91" t="s">
        <v>4194</v>
      </c>
      <c r="C236" s="235" t="str">
        <f>IFERROR(VLOOKUP(B236,'ПО КОРИСНИЦИМА'!$C$3:$J$505,5,FALSE),"")</f>
        <v/>
      </c>
      <c r="D236" s="251">
        <f>SUMIF('ПО КОРИСНИЦИМА'!$G$3:$G$505,"Свега за пројекат 0901-П15:",'ПО КОРИСНИЦИМА'!$H$3:$H$505)</f>
        <v>0</v>
      </c>
      <c r="E236" s="1105" t="e">
        <f t="shared" si="13"/>
        <v>#DIV/0!</v>
      </c>
      <c r="F236" s="1085">
        <f>SUMIF('ПО КОРИСНИЦИМА'!$G$3:$G$505,"Свега за пројекат 0901-П15:",'ПО КОРИСНИЦИМА'!$I$3:$I$505)</f>
        <v>0</v>
      </c>
      <c r="G236" s="265">
        <f t="shared" si="15"/>
        <v>0</v>
      </c>
      <c r="H236" s="261"/>
    </row>
    <row r="237" spans="1:8" hidden="1">
      <c r="A237" s="89"/>
      <c r="B237" s="91" t="s">
        <v>4195</v>
      </c>
      <c r="C237" s="235" t="str">
        <f>IFERROR(VLOOKUP(B237,'ПО КОРИСНИЦИМА'!$C$3:$J$505,5,FALSE),"")</f>
        <v/>
      </c>
      <c r="D237" s="251">
        <f>SUMIF('ПО КОРИСНИЦИМА'!$G$3:$G$505,"Свега за пројекат 0901-П16:",'ПО КОРИСНИЦИМА'!$H$3:$H$505)</f>
        <v>0</v>
      </c>
      <c r="E237" s="1105" t="e">
        <f t="shared" si="13"/>
        <v>#DIV/0!</v>
      </c>
      <c r="F237" s="1085">
        <f>SUMIF('ПО КОРИСНИЦИМА'!$G$3:$G$505,"Свега за пројекат 0901-П16:",'ПО КОРИСНИЦИМА'!$I$3:$I$505)</f>
        <v>0</v>
      </c>
      <c r="G237" s="265">
        <f t="shared" si="15"/>
        <v>0</v>
      </c>
      <c r="H237" s="261"/>
    </row>
    <row r="238" spans="1:8" hidden="1">
      <c r="A238" s="89"/>
      <c r="B238" s="91" t="s">
        <v>4196</v>
      </c>
      <c r="C238" s="235" t="str">
        <f>IFERROR(VLOOKUP(B238,'ПО КОРИСНИЦИМА'!$C$3:$J$505,5,FALSE),"")</f>
        <v/>
      </c>
      <c r="D238" s="251">
        <f>SUMIF('ПО КОРИСНИЦИМА'!$G$3:$G$505,"Свега за пројекат 0901-П17:",'ПО КОРИСНИЦИМА'!$H$3:$H$505)</f>
        <v>0</v>
      </c>
      <c r="E238" s="1105" t="e">
        <f t="shared" si="13"/>
        <v>#DIV/0!</v>
      </c>
      <c r="F238" s="1085">
        <f>SUMIF('ПО КОРИСНИЦИМА'!$G$3:$G$505,"Свега за пројекат 0901-П17:",'ПО КОРИСНИЦИМА'!$I$3:$I$505)</f>
        <v>0</v>
      </c>
      <c r="G238" s="265">
        <f t="shared" si="15"/>
        <v>0</v>
      </c>
      <c r="H238" s="261"/>
    </row>
    <row r="239" spans="1:8" hidden="1">
      <c r="A239" s="89"/>
      <c r="B239" s="91" t="s">
        <v>4197</v>
      </c>
      <c r="C239" s="235" t="str">
        <f>IFERROR(VLOOKUP(B239,'ПО КОРИСНИЦИМА'!$C$3:$J$505,5,FALSE),"")</f>
        <v/>
      </c>
      <c r="D239" s="251">
        <f>SUMIF('ПО КОРИСНИЦИМА'!$G$3:$G$505,"Свега за пројекат 0901-П18:",'ПО КОРИСНИЦИМА'!$H$3:$H$505)</f>
        <v>0</v>
      </c>
      <c r="E239" s="1105" t="e">
        <f t="shared" si="13"/>
        <v>#DIV/0!</v>
      </c>
      <c r="F239" s="1085">
        <f>SUMIF('ПО КОРИСНИЦИМА'!$G$3:$G$505,"Свега за пројекат 0901-П18:",'ПО КОРИСНИЦИМА'!$I$3:$I$505)</f>
        <v>0</v>
      </c>
      <c r="G239" s="265">
        <f t="shared" si="15"/>
        <v>0</v>
      </c>
      <c r="H239" s="261"/>
    </row>
    <row r="240" spans="1:8" hidden="1">
      <c r="A240" s="89"/>
      <c r="B240" s="91" t="s">
        <v>4198</v>
      </c>
      <c r="C240" s="235" t="str">
        <f>IFERROR(VLOOKUP(B240,'ПО КОРИСНИЦИМА'!$C$3:$J$505,5,FALSE),"")</f>
        <v/>
      </c>
      <c r="D240" s="251">
        <f>SUMIF('ПО КОРИСНИЦИМА'!$G$3:$G$505,"Свега за пројекат 0901-П19:",'ПО КОРИСНИЦИМА'!$H$3:$H$505)</f>
        <v>0</v>
      </c>
      <c r="E240" s="1105" t="e">
        <f t="shared" si="13"/>
        <v>#DIV/0!</v>
      </c>
      <c r="F240" s="1085">
        <f>SUMIF('ПО КОРИСНИЦИМА'!$G$3:$G$505,"Свега за пројекат 0901-П19:",'ПО КОРИСНИЦИМА'!$I$3:$I$505)</f>
        <v>0</v>
      </c>
      <c r="G240" s="265">
        <f t="shared" si="15"/>
        <v>0</v>
      </c>
      <c r="H240" s="261"/>
    </row>
    <row r="241" spans="1:8" hidden="1">
      <c r="A241" s="89"/>
      <c r="B241" s="91" t="s">
        <v>4199</v>
      </c>
      <c r="C241" s="235" t="str">
        <f>IFERROR(VLOOKUP(B241,'ПО КОРИСНИЦИМА'!$C$3:$J$505,5,FALSE),"")</f>
        <v/>
      </c>
      <c r="D241" s="251">
        <f>SUMIF('ПО КОРИСНИЦИМА'!$G$3:$G$505,"Свега за пројекат 0901-П20:",'ПО КОРИСНИЦИМА'!$H$3:$H$505)</f>
        <v>0</v>
      </c>
      <c r="E241" s="1105" t="e">
        <f t="shared" si="13"/>
        <v>#DIV/0!</v>
      </c>
      <c r="F241" s="1085">
        <f>SUMIF('ПО КОРИСНИЦИМА'!$G$3:$G$505,"Свега за пројекат 0901-П20:",'ПО КОРИСНИЦИМА'!$I$3:$I$505)</f>
        <v>0</v>
      </c>
      <c r="G241" s="265">
        <f t="shared" si="15"/>
        <v>0</v>
      </c>
      <c r="H241" s="261"/>
    </row>
    <row r="242" spans="1:8" hidden="1">
      <c r="A242" s="89"/>
      <c r="B242" s="91" t="s">
        <v>4200</v>
      </c>
      <c r="C242" s="235" t="str">
        <f>IFERROR(VLOOKUP(B242,'ПО КОРИСНИЦИМА'!$C$3:$J$505,5,FALSE),"")</f>
        <v/>
      </c>
      <c r="D242" s="251">
        <f>SUMIF('ПО КОРИСНИЦИМА'!$G$3:$G$505,"Свега за пројекат 0901-П21:",'ПО КОРИСНИЦИМА'!$H$3:$H$505)</f>
        <v>0</v>
      </c>
      <c r="E242" s="1105" t="e">
        <f t="shared" si="13"/>
        <v>#DIV/0!</v>
      </c>
      <c r="F242" s="1085">
        <f>SUMIF('ПО КОРИСНИЦИМА'!$G$3:$G$505,"Свега за пројекат 0901-П21:",'ПО КОРИСНИЦИМА'!$I$3:$I$505)</f>
        <v>0</v>
      </c>
      <c r="G242" s="265">
        <f t="shared" si="15"/>
        <v>0</v>
      </c>
      <c r="H242" s="261"/>
    </row>
    <row r="243" spans="1:8" s="90" customFormat="1" ht="14.25">
      <c r="A243" s="204" t="s">
        <v>3592</v>
      </c>
      <c r="B243" s="205"/>
      <c r="C243" s="233" t="s">
        <v>4424</v>
      </c>
      <c r="D243" s="255">
        <f>SUM(D244:D266)</f>
        <v>9000000</v>
      </c>
      <c r="E243" s="1110">
        <f t="shared" si="13"/>
        <v>90.889834555555566</v>
      </c>
      <c r="F243" s="445">
        <f>SUM(F244:F266)</f>
        <v>8180085.1100000003</v>
      </c>
      <c r="G243" s="255">
        <f>D243-F243</f>
        <v>819914.88999999966</v>
      </c>
      <c r="H243" s="256"/>
    </row>
    <row r="244" spans="1:8">
      <c r="A244" s="203"/>
      <c r="B244" s="207" t="s">
        <v>3991</v>
      </c>
      <c r="C244" s="239" t="s">
        <v>3987</v>
      </c>
      <c r="D244" s="258">
        <f>SUMIF('ПО КОРИСНИЦИМА'!$C$3:$C$544,B244,'ПО КОРИСНИЦИМА'!$H$3:$H$544)</f>
        <v>8600000</v>
      </c>
      <c r="E244" s="1109">
        <f t="shared" si="13"/>
        <v>91.805523255813952</v>
      </c>
      <c r="F244" s="353">
        <f>SUMIF('ПО КОРИСНИЦИМА'!$C$3:$C$544,B244,'ПО КОРИСНИЦИМА'!$I$3:$I$544)</f>
        <v>7895275</v>
      </c>
      <c r="G244" s="258">
        <f>D244-F244</f>
        <v>704725</v>
      </c>
      <c r="H244" s="259"/>
    </row>
    <row r="245" spans="1:8">
      <c r="A245" s="203"/>
      <c r="B245" s="207" t="s">
        <v>4400</v>
      </c>
      <c r="C245" s="239" t="s">
        <v>4425</v>
      </c>
      <c r="D245" s="258">
        <f>SUMIF('ПО КОРИСНИЦИМА'!$C$3:$C$544,B245,'ПО КОРИСНИЦИМА'!$H$3:$H$544)</f>
        <v>400000</v>
      </c>
      <c r="E245" s="1109">
        <f t="shared" si="13"/>
        <v>71.202527500000002</v>
      </c>
      <c r="F245" s="353">
        <f>SUMIF('ПО КОРИСНИЦИМА'!$C$3:$C$544,B245,'ПО КОРИСНИЦИМА'!$I$3:$I$544)</f>
        <v>284810.11</v>
      </c>
      <c r="G245" s="258">
        <f>D245-F245</f>
        <v>115189.89000000001</v>
      </c>
      <c r="H245" s="259"/>
    </row>
    <row r="246" spans="1:8" ht="25.5" hidden="1">
      <c r="A246" s="203"/>
      <c r="B246" s="207" t="s">
        <v>4365</v>
      </c>
      <c r="C246" s="526" t="s">
        <v>4426</v>
      </c>
      <c r="D246" s="258">
        <f>SUMIF('ПО КОРИСНИЦИМА'!$C$3:$C$544,B246,'ПО КОРИСНИЦИМА'!$H$3:$H$544)</f>
        <v>0</v>
      </c>
      <c r="E246" s="1105" t="e">
        <f t="shared" si="13"/>
        <v>#DIV/0!</v>
      </c>
      <c r="F246" s="353">
        <f>SUMIF('ПО КОРИСНИЦИМА'!$C$3:$C$544,B246,'ПО КОРИСНИЦИМА'!$I$3:$I$544)</f>
        <v>0</v>
      </c>
      <c r="G246" s="258">
        <f t="shared" si="9"/>
        <v>0</v>
      </c>
      <c r="H246" s="259"/>
    </row>
    <row r="247" spans="1:8" hidden="1">
      <c r="A247" s="92"/>
      <c r="B247" s="92" t="s">
        <v>4201</v>
      </c>
      <c r="C247" s="235" t="str">
        <f>IFERROR(VLOOKUP(B247,'ПО КОРИСНИЦИМА'!$C$3:$J$505,5,FALSE),"")</f>
        <v/>
      </c>
      <c r="D247" s="258">
        <f>SUMIF('ПО КОРИСНИЦИМА'!$C$3:$C$544,B247,'ПО КОРИСНИЦИМА'!$H$3:$H$544)</f>
        <v>0</v>
      </c>
      <c r="E247" s="1105" t="e">
        <f t="shared" si="13"/>
        <v>#DIV/0!</v>
      </c>
      <c r="F247" s="353">
        <f>SUMIF('ПО КОРИСНИЦИМА'!$C$3:$C$544,B247,'ПО КОРИСНИЦИМА'!$I$3:$I$544)</f>
        <v>0</v>
      </c>
      <c r="G247" s="260">
        <f t="shared" si="9"/>
        <v>0</v>
      </c>
      <c r="H247" s="262"/>
    </row>
    <row r="248" spans="1:8" hidden="1">
      <c r="A248" s="92"/>
      <c r="B248" s="92" t="s">
        <v>4520</v>
      </c>
      <c r="C248" s="235" t="str">
        <f>IFERROR(VLOOKUP(B248,'ПО КОРИСНИЦИМА'!$C$3:$J$505,5,FALSE),"")</f>
        <v/>
      </c>
      <c r="D248" s="251">
        <f>SUMIF('ПО КОРИСНИЦИМА'!$G$3:$G$505,"Свега за пројекат 1801-П6:",'ПО КОРИСНИЦИМА'!$H$3:$H$505)</f>
        <v>0</v>
      </c>
      <c r="E248" s="1105" t="e">
        <f t="shared" si="13"/>
        <v>#DIV/0!</v>
      </c>
      <c r="F248" s="1085">
        <f>SUMIF('ПО КОРИСНИЦИМА'!$G$3:$G$505,"Свега за пројекат 1801-П6:",'ПО КОРИСНИЦИМА'!$I$3:$I$505)</f>
        <v>0</v>
      </c>
      <c r="G248" s="260">
        <f t="shared" si="9"/>
        <v>0</v>
      </c>
      <c r="H248" s="261"/>
    </row>
    <row r="249" spans="1:8" hidden="1">
      <c r="A249" s="92"/>
      <c r="B249" s="92" t="s">
        <v>4521</v>
      </c>
      <c r="C249" s="235" t="str">
        <f>IFERROR(VLOOKUP(B249,'ПО КОРИСНИЦИМА'!$C$3:$J$505,5,FALSE),"")</f>
        <v/>
      </c>
      <c r="D249" s="251">
        <f>SUMIF('ПО КОРИСНИЦИМА'!$G$3:$G$505,"Свега за пројекат 1801-П7:",'ПО КОРИСНИЦИМА'!$H$3:$H$505)</f>
        <v>0</v>
      </c>
      <c r="E249" s="1105" t="e">
        <f t="shared" si="13"/>
        <v>#DIV/0!</v>
      </c>
      <c r="F249" s="1085">
        <f>SUMIF('ПО КОРИСНИЦИМА'!$G$3:$G$505,"Свега за пројекат 1801-П7:",'ПО КОРИСНИЦИМА'!$I$3:$I$505)</f>
        <v>0</v>
      </c>
      <c r="G249" s="260">
        <f t="shared" si="9"/>
        <v>0</v>
      </c>
      <c r="H249" s="261"/>
    </row>
    <row r="250" spans="1:8" hidden="1">
      <c r="A250" s="92"/>
      <c r="B250" s="92" t="s">
        <v>4522</v>
      </c>
      <c r="C250" s="235" t="str">
        <f>IFERROR(VLOOKUP(B250,'ПО КОРИСНИЦИМА'!$C$3:$J$505,5,FALSE),"")</f>
        <v/>
      </c>
      <c r="D250" s="251">
        <f>SUMIF('ПО КОРИСНИЦИМА'!$G$3:$G$505,"Свега за пројекат 1801-П8:",'ПО КОРИСНИЦИМА'!$H$3:$H$505)</f>
        <v>0</v>
      </c>
      <c r="E250" s="1105" t="e">
        <f t="shared" si="13"/>
        <v>#DIV/0!</v>
      </c>
      <c r="F250" s="1085">
        <f>SUMIF('ПО КОРИСНИЦИМА'!$G$3:$G$505,"Свега за пројекат 1801-П8:",'ПО КОРИСНИЦИМА'!$I$3:$I$505)</f>
        <v>0</v>
      </c>
      <c r="G250" s="260">
        <f t="shared" si="9"/>
        <v>0</v>
      </c>
      <c r="H250" s="261"/>
    </row>
    <row r="251" spans="1:8" hidden="1">
      <c r="A251" s="92"/>
      <c r="B251" s="92" t="s">
        <v>4523</v>
      </c>
      <c r="C251" s="235" t="str">
        <f>IFERROR(VLOOKUP(B251,'ПО КОРИСНИЦИМА'!$C$3:$J$505,5,FALSE),"")</f>
        <v/>
      </c>
      <c r="D251" s="251">
        <f>SUMIF('ПО КОРИСНИЦИМА'!$G$3:$G$505,"Свега за пројекат 1801-П9:",'ПО КОРИСНИЦИМА'!$H$3:$H$505)</f>
        <v>0</v>
      </c>
      <c r="E251" s="1105" t="e">
        <f t="shared" si="13"/>
        <v>#DIV/0!</v>
      </c>
      <c r="F251" s="1085">
        <f>SUMIF('ПО КОРИСНИЦИМА'!$G$3:$G$505,"Свега за пројекат 1801-П9:",'ПО КОРИСНИЦИМА'!$I$3:$I$505)</f>
        <v>0</v>
      </c>
      <c r="G251" s="260">
        <f t="shared" si="9"/>
        <v>0</v>
      </c>
      <c r="H251" s="261"/>
    </row>
    <row r="252" spans="1:8" hidden="1">
      <c r="A252" s="92"/>
      <c r="B252" s="92" t="s">
        <v>4202</v>
      </c>
      <c r="C252" s="235" t="str">
        <f>IFERROR(VLOOKUP(B252,'ПО КОРИСНИЦИМА'!$C$3:$J$505,5,FALSE),"")</f>
        <v/>
      </c>
      <c r="D252" s="251">
        <f>SUMIF('ПО КОРИСНИЦИМА'!$G$3:$G$505,"Свега за пројекат 1801-П10:",'ПО КОРИСНИЦИМА'!$H$3:$H$505)</f>
        <v>0</v>
      </c>
      <c r="E252" s="1105" t="e">
        <f t="shared" si="13"/>
        <v>#DIV/0!</v>
      </c>
      <c r="F252" s="1085">
        <f>SUMIF('ПО КОРИСНИЦИМА'!$G$3:$G$505,"Свега за пројекат 1801-П10:",'ПО КОРИСНИЦИМА'!$I$3:$I$505)</f>
        <v>0</v>
      </c>
      <c r="G252" s="260">
        <f t="shared" si="9"/>
        <v>0</v>
      </c>
      <c r="H252" s="261"/>
    </row>
    <row r="253" spans="1:8" hidden="1">
      <c r="A253" s="92"/>
      <c r="B253" s="92" t="s">
        <v>4203</v>
      </c>
      <c r="C253" s="235" t="str">
        <f>IFERROR(VLOOKUP(B253,'ПО КОРИСНИЦИМА'!$C$3:$J$505,5,FALSE),"")</f>
        <v/>
      </c>
      <c r="D253" s="251">
        <f>SUMIF('ПО КОРИСНИЦИМА'!$G$3:$G$505,"Свега за пројекат 1801-П11:",'ПО КОРИСНИЦИМА'!$H$3:$H$505)</f>
        <v>0</v>
      </c>
      <c r="E253" s="1105" t="e">
        <f t="shared" si="13"/>
        <v>#DIV/0!</v>
      </c>
      <c r="F253" s="1085">
        <f>SUMIF('ПО КОРИСНИЦИМА'!$G$3:$G$505,"Свега за пројекат 1801-П11:",'ПО КОРИСНИЦИМА'!$I$3:$I$505)</f>
        <v>0</v>
      </c>
      <c r="G253" s="260">
        <f t="shared" si="9"/>
        <v>0</v>
      </c>
      <c r="H253" s="261"/>
    </row>
    <row r="254" spans="1:8" hidden="1">
      <c r="A254" s="92"/>
      <c r="B254" s="92" t="s">
        <v>4204</v>
      </c>
      <c r="C254" s="235" t="str">
        <f>IFERROR(VLOOKUP(B254,'ПО КОРИСНИЦИМА'!$C$3:$J$505,5,FALSE),"")</f>
        <v/>
      </c>
      <c r="D254" s="251">
        <f>SUMIF('ПО КОРИСНИЦИМА'!$G$3:$G$505,"Свега за пројекат 1801-П12:",'ПО КОРИСНИЦИМА'!$H$3:$H$505)</f>
        <v>0</v>
      </c>
      <c r="E254" s="1105" t="e">
        <f t="shared" si="13"/>
        <v>#DIV/0!</v>
      </c>
      <c r="F254" s="1085">
        <f>SUMIF('ПО КОРИСНИЦИМА'!$G$3:$G$505,"Свега за пројекат 1801-П12:",'ПО КОРИСНИЦИМА'!$I$3:$I$505)</f>
        <v>0</v>
      </c>
      <c r="G254" s="260">
        <f t="shared" si="9"/>
        <v>0</v>
      </c>
      <c r="H254" s="261"/>
    </row>
    <row r="255" spans="1:8" hidden="1">
      <c r="A255" s="92"/>
      <c r="B255" s="92" t="s">
        <v>4205</v>
      </c>
      <c r="C255" s="235" t="str">
        <f>IFERROR(VLOOKUP(B255,'ПО КОРИСНИЦИМА'!$C$3:$J$505,5,FALSE),"")</f>
        <v/>
      </c>
      <c r="D255" s="251">
        <f>SUMIF('ПО КОРИСНИЦИМА'!$G$3:$G$505,"Свега за пројекат 1801-П13:",'ПО КОРИСНИЦИМА'!$H$3:$H$505)</f>
        <v>0</v>
      </c>
      <c r="E255" s="1105" t="e">
        <f t="shared" si="13"/>
        <v>#DIV/0!</v>
      </c>
      <c r="F255" s="1085">
        <f>SUMIF('ПО КОРИСНИЦИМА'!$G$3:$G$505,"Свега за пројекат 1801-П13:",'ПО КОРИСНИЦИМА'!$I$3:$I$505)</f>
        <v>0</v>
      </c>
      <c r="G255" s="260">
        <f t="shared" si="9"/>
        <v>0</v>
      </c>
      <c r="H255" s="261"/>
    </row>
    <row r="256" spans="1:8" hidden="1">
      <c r="A256" s="92"/>
      <c r="B256" s="92" t="s">
        <v>4206</v>
      </c>
      <c r="C256" s="235" t="str">
        <f>IFERROR(VLOOKUP(B256,'ПО КОРИСНИЦИМА'!$C$3:$J$505,5,FALSE),"")</f>
        <v/>
      </c>
      <c r="D256" s="251">
        <f>SUMIF('ПО КОРИСНИЦИМА'!$G$3:$G$505,"Свега за пројекат 1801-П14:",'ПО КОРИСНИЦИМА'!$H$3:$H$505)</f>
        <v>0</v>
      </c>
      <c r="E256" s="1105" t="e">
        <f t="shared" si="13"/>
        <v>#DIV/0!</v>
      </c>
      <c r="F256" s="1085">
        <f>SUMIF('ПО КОРИСНИЦИМА'!$G$3:$G$505,"Свега за пројекат 1801-П14:",'ПО КОРИСНИЦИМА'!$I$3:$I$505)</f>
        <v>0</v>
      </c>
      <c r="G256" s="260">
        <f t="shared" si="9"/>
        <v>0</v>
      </c>
      <c r="H256" s="261"/>
    </row>
    <row r="257" spans="1:8" hidden="1">
      <c r="A257" s="92"/>
      <c r="B257" s="92" t="s">
        <v>4207</v>
      </c>
      <c r="C257" s="235" t="str">
        <f>IFERROR(VLOOKUP(B257,'ПО КОРИСНИЦИМА'!$C$3:$J$505,5,FALSE),"")</f>
        <v/>
      </c>
      <c r="D257" s="251">
        <f>SUMIF('ПО КОРИСНИЦИМА'!$G$3:$G$505,"Свега за пројекат 1801-П15:",'ПО КОРИСНИЦИМА'!$H$3:$H$505)</f>
        <v>0</v>
      </c>
      <c r="E257" s="1105" t="e">
        <f t="shared" si="13"/>
        <v>#DIV/0!</v>
      </c>
      <c r="F257" s="1085">
        <f>SUMIF('ПО КОРИСНИЦИМА'!$G$3:$G$505,"Свега за пројекат 1801-П15:",'ПО КОРИСНИЦИМА'!$I$3:$I$505)</f>
        <v>0</v>
      </c>
      <c r="G257" s="260">
        <f t="shared" si="9"/>
        <v>0</v>
      </c>
      <c r="H257" s="261"/>
    </row>
    <row r="258" spans="1:8" hidden="1">
      <c r="A258" s="92"/>
      <c r="B258" s="92" t="s">
        <v>4208</v>
      </c>
      <c r="C258" s="235" t="str">
        <f>IFERROR(VLOOKUP(B258,'ПО КОРИСНИЦИМА'!$C$3:$J$505,5,FALSE),"")</f>
        <v/>
      </c>
      <c r="D258" s="251">
        <f>SUMIF('ПО КОРИСНИЦИМА'!$G$3:$G$505,"Свега за пројекат 1801-П16:",'ПО КОРИСНИЦИМА'!$H$3:$H$505)</f>
        <v>0</v>
      </c>
      <c r="E258" s="1105" t="e">
        <f t="shared" si="13"/>
        <v>#DIV/0!</v>
      </c>
      <c r="F258" s="1085">
        <f>SUMIF('ПО КОРИСНИЦИМА'!$G$3:$G$505,"Свега за пројекат 1801-П16:",'ПО КОРИСНИЦИМА'!$I$3:$I$505)</f>
        <v>0</v>
      </c>
      <c r="G258" s="260">
        <f t="shared" si="9"/>
        <v>0</v>
      </c>
      <c r="H258" s="261"/>
    </row>
    <row r="259" spans="1:8" hidden="1">
      <c r="A259" s="92"/>
      <c r="B259" s="92" t="s">
        <v>4209</v>
      </c>
      <c r="C259" s="235" t="str">
        <f>IFERROR(VLOOKUP(B259,'ПО КОРИСНИЦИМА'!$C$3:$J$505,5,FALSE),"")</f>
        <v/>
      </c>
      <c r="D259" s="251">
        <f>SUMIF('ПО КОРИСНИЦИМА'!$G$3:$G$505,"Свега за пројекат 1801-П17:",'ПО КОРИСНИЦИМА'!$H$3:$H$505)</f>
        <v>0</v>
      </c>
      <c r="E259" s="1105" t="e">
        <f t="shared" si="13"/>
        <v>#DIV/0!</v>
      </c>
      <c r="F259" s="1085">
        <f>SUMIF('ПО КОРИСНИЦИМА'!$G$3:$G$505,"Свега за пројекат 1801-П17:",'ПО КОРИСНИЦИМА'!$I$3:$I$505)</f>
        <v>0</v>
      </c>
      <c r="G259" s="260">
        <f t="shared" si="9"/>
        <v>0</v>
      </c>
      <c r="H259" s="261"/>
    </row>
    <row r="260" spans="1:8" hidden="1">
      <c r="A260" s="92"/>
      <c r="B260" s="92" t="s">
        <v>4210</v>
      </c>
      <c r="C260" s="235" t="str">
        <f>IFERROR(VLOOKUP(B260,'ПО КОРИСНИЦИМА'!$C$3:$J$505,5,FALSE),"")</f>
        <v/>
      </c>
      <c r="D260" s="251">
        <f>SUMIF('ПО КОРИСНИЦИМА'!$G$3:$G$505,"Свега за пројекат 1801-П18:",'ПО КОРИСНИЦИМА'!$H$3:$H$505)</f>
        <v>0</v>
      </c>
      <c r="E260" s="1105" t="e">
        <f t="shared" si="13"/>
        <v>#DIV/0!</v>
      </c>
      <c r="F260" s="1085">
        <f>SUMIF('ПО КОРИСНИЦИМА'!$G$3:$G$505,"Свега за пројекат 1801-П18:",'ПО КОРИСНИЦИМА'!$I$3:$I$505)</f>
        <v>0</v>
      </c>
      <c r="G260" s="260">
        <f t="shared" si="9"/>
        <v>0</v>
      </c>
      <c r="H260" s="261"/>
    </row>
    <row r="261" spans="1:8" hidden="1">
      <c r="A261" s="92"/>
      <c r="B261" s="92" t="s">
        <v>4211</v>
      </c>
      <c r="C261" s="235" t="str">
        <f>IFERROR(VLOOKUP(B261,'ПО КОРИСНИЦИМА'!$C$3:$J$505,5,FALSE),"")</f>
        <v/>
      </c>
      <c r="D261" s="251">
        <f>SUMIF('ПО КОРИСНИЦИМА'!$G$3:$G$505,"Свега за пројекат 1801-П19:",'ПО КОРИСНИЦИМА'!$H$3:$H$505)</f>
        <v>0</v>
      </c>
      <c r="E261" s="1105" t="e">
        <f t="shared" si="13"/>
        <v>#DIV/0!</v>
      </c>
      <c r="F261" s="1085">
        <f>SUMIF('ПО КОРИСНИЦИМА'!$G$3:$G$505,"Свега за пројекат 1801-П19:",'ПО КОРИСНИЦИМА'!$I$3:$I$505)</f>
        <v>0</v>
      </c>
      <c r="G261" s="260">
        <f t="shared" si="9"/>
        <v>0</v>
      </c>
      <c r="H261" s="261"/>
    </row>
    <row r="262" spans="1:8" hidden="1">
      <c r="A262" s="92"/>
      <c r="B262" s="92" t="s">
        <v>4212</v>
      </c>
      <c r="C262" s="235" t="str">
        <f>IFERROR(VLOOKUP(B262,'ПО КОРИСНИЦИМА'!$C$3:$J$505,5,FALSE),"")</f>
        <v/>
      </c>
      <c r="D262" s="251">
        <f>SUMIF('ПО КОРИСНИЦИМА'!$G$3:$G$505,"Свега за пројекат 1801-П20:",'ПО КОРИСНИЦИМА'!$H$3:$H$505)</f>
        <v>0</v>
      </c>
      <c r="E262" s="1105" t="e">
        <f t="shared" ref="E262:E325" si="16">F262/D262*100</f>
        <v>#DIV/0!</v>
      </c>
      <c r="F262" s="1085">
        <f>SUMIF('ПО КОРИСНИЦИМА'!$G$3:$G$505,"Свега за пројекат 1801-П20:",'ПО КОРИСНИЦИМА'!$I$3:$I$505)</f>
        <v>0</v>
      </c>
      <c r="G262" s="260">
        <f t="shared" si="9"/>
        <v>0</v>
      </c>
      <c r="H262" s="261"/>
    </row>
    <row r="263" spans="1:8" hidden="1">
      <c r="A263" s="92"/>
      <c r="B263" s="92" t="s">
        <v>4213</v>
      </c>
      <c r="C263" s="235" t="str">
        <f>IFERROR(VLOOKUP(B263,'ПО КОРИСНИЦИМА'!$C$3:$J$505,5,FALSE),"")</f>
        <v/>
      </c>
      <c r="D263" s="251">
        <f>SUMIF('ПО КОРИСНИЦИМА'!$G$3:$G$505,"Свега за пројекат 1801-П21:",'ПО КОРИСНИЦИМА'!$H$3:$H$505)</f>
        <v>0</v>
      </c>
      <c r="E263" s="1105" t="e">
        <f t="shared" si="16"/>
        <v>#DIV/0!</v>
      </c>
      <c r="F263" s="1085">
        <f>SUMIF('ПО КОРИСНИЦИМА'!$G$3:$G$505,"Свега за пројекат 1801-П21:",'ПО КОРИСНИЦИМА'!$I$3:$I$505)</f>
        <v>0</v>
      </c>
      <c r="G263" s="260">
        <f t="shared" si="9"/>
        <v>0</v>
      </c>
      <c r="H263" s="261"/>
    </row>
    <row r="264" spans="1:8" hidden="1">
      <c r="A264" s="92"/>
      <c r="B264" s="92" t="s">
        <v>4214</v>
      </c>
      <c r="C264" s="235" t="str">
        <f>IFERROR(VLOOKUP(B264,'ПО КОРИСНИЦИМА'!$C$3:$J$505,5,FALSE),"")</f>
        <v/>
      </c>
      <c r="D264" s="251">
        <f>SUMIF('ПО КОРИСНИЦИМА'!$G$3:$G$505,"Свега за пројекат 1801-П22:",'ПО КОРИСНИЦИМА'!$H$3:$H$505)</f>
        <v>0</v>
      </c>
      <c r="E264" s="1105" t="e">
        <f t="shared" si="16"/>
        <v>#DIV/0!</v>
      </c>
      <c r="F264" s="1085">
        <f>SUMIF('ПО КОРИСНИЦИМА'!$G$3:$G$505,"Свега за пројекат 1801-П22:",'ПО КОРИСНИЦИМА'!$I$3:$I$505)</f>
        <v>0</v>
      </c>
      <c r="G264" s="260">
        <f t="shared" si="9"/>
        <v>0</v>
      </c>
      <c r="H264" s="261"/>
    </row>
    <row r="265" spans="1:8" hidden="1">
      <c r="A265" s="92"/>
      <c r="B265" s="92" t="s">
        <v>4215</v>
      </c>
      <c r="C265" s="235" t="str">
        <f>IFERROR(VLOOKUP(B265,'ПО КОРИСНИЦИМА'!$C$3:$J$505,5,FALSE),"")</f>
        <v/>
      </c>
      <c r="D265" s="251">
        <f>SUMIF('ПО КОРИСНИЦИМА'!$G$3:$G$505,"Свега за пројекат 1801-П23:",'ПО КОРИСНИЦИМА'!$H$3:$H$505)</f>
        <v>0</v>
      </c>
      <c r="E265" s="1105" t="e">
        <f t="shared" si="16"/>
        <v>#DIV/0!</v>
      </c>
      <c r="F265" s="1085">
        <f>SUMIF('ПО КОРИСНИЦИМА'!$G$3:$G$505,"Свега за пројекат 1801-П23:",'ПО КОРИСНИЦИМА'!$I$3:$I$505)</f>
        <v>0</v>
      </c>
      <c r="G265" s="260">
        <f t="shared" si="9"/>
        <v>0</v>
      </c>
      <c r="H265" s="261"/>
    </row>
    <row r="266" spans="1:8" hidden="1">
      <c r="A266" s="92"/>
      <c r="B266" s="92" t="s">
        <v>4216</v>
      </c>
      <c r="C266" s="235" t="str">
        <f>IFERROR(VLOOKUP(B266,'ПО КОРИСНИЦИМА'!$C$3:$J$505,5,FALSE),"")</f>
        <v/>
      </c>
      <c r="D266" s="251">
        <f>SUMIF('ПО КОРИСНИЦИМА'!$G$3:$G$505,"Свега за пројекат 1801-П24:",'ПО КОРИСНИЦИМА'!$H$3:$H$505)</f>
        <v>0</v>
      </c>
      <c r="E266" s="1105" t="e">
        <f t="shared" si="16"/>
        <v>#DIV/0!</v>
      </c>
      <c r="F266" s="1085">
        <f>SUMIF('ПО КОРИСНИЦИМА'!$G$3:$G$505,"Свега за пројекат 1801-П24:",'ПО КОРИСНИЦИМА'!$I$3:$I$505)</f>
        <v>0</v>
      </c>
      <c r="G266" s="260">
        <f t="shared" si="9"/>
        <v>0</v>
      </c>
      <c r="H266" s="261"/>
    </row>
    <row r="267" spans="1:8" s="90" customFormat="1" ht="14.25">
      <c r="A267" s="204" t="s">
        <v>3595</v>
      </c>
      <c r="B267" s="205"/>
      <c r="C267" s="233" t="s">
        <v>4427</v>
      </c>
      <c r="D267" s="255">
        <f>SUM(D268:D293)</f>
        <v>31100000</v>
      </c>
      <c r="E267" s="1110">
        <f t="shared" si="16"/>
        <v>60.189537331189712</v>
      </c>
      <c r="F267" s="445">
        <f>SUM(F268:F293)</f>
        <v>18718946.109999999</v>
      </c>
      <c r="G267" s="255">
        <f>D267+F267</f>
        <v>49818946.109999999</v>
      </c>
      <c r="H267" s="256"/>
    </row>
    <row r="268" spans="1:8">
      <c r="A268" s="203"/>
      <c r="B268" s="596" t="s">
        <v>3989</v>
      </c>
      <c r="C268" s="236" t="s">
        <v>3988</v>
      </c>
      <c r="D268" s="258">
        <f>SUMIF('ПО КОРИСНИЦИМА'!$C$3:$C$544,B268,'ПО КОРИСНИЦИМА'!$H$3:$H$544)</f>
        <v>24600000</v>
      </c>
      <c r="E268" s="1109">
        <f t="shared" si="16"/>
        <v>62.770345975609764</v>
      </c>
      <c r="F268" s="353">
        <f>SUMIF('ПО КОРИСНИЦИМА'!$C$3:$C$544,B268,'ПО КОРИСНИЦИМА'!$I$3:$I$544)</f>
        <v>15441505.110000001</v>
      </c>
      <c r="G268" s="258">
        <f>D268-F268</f>
        <v>9158494.8899999987</v>
      </c>
      <c r="H268" s="259"/>
    </row>
    <row r="269" spans="1:8" ht="25.5" hidden="1">
      <c r="A269" s="89"/>
      <c r="B269" s="597" t="s">
        <v>3990</v>
      </c>
      <c r="C269" s="527" t="s">
        <v>4524</v>
      </c>
      <c r="D269" s="258">
        <f>SUMIF('ПО КОРИСНИЦИМА'!$C$3:$C$544,B269,'ПО КОРИСНИЦИМА'!$H$3:$H$544)</f>
        <v>0</v>
      </c>
      <c r="E269" s="1109" t="e">
        <f t="shared" si="16"/>
        <v>#DIV/0!</v>
      </c>
      <c r="F269" s="353">
        <f>SUMIF('ПО КОРИСНИЦИМА'!$C$3:$C$544,B269,'ПО КОРИСНИЦИМА'!$I$3:$I$544)</f>
        <v>0</v>
      </c>
      <c r="G269" s="258">
        <f t="shared" ref="G269:G271" si="17">D269-F269</f>
        <v>0</v>
      </c>
      <c r="H269" s="262"/>
    </row>
    <row r="270" spans="1:8" ht="25.5">
      <c r="A270" s="89"/>
      <c r="B270" s="596" t="s">
        <v>4402</v>
      </c>
      <c r="C270" s="527" t="s">
        <v>4368</v>
      </c>
      <c r="D270" s="258">
        <f>SUMIF('ПО КОРИСНИЦИМА'!$C$3:$C$544,B270,'ПО КОРИСНИЦИМА'!$H$3:$H$544)</f>
        <v>3500000</v>
      </c>
      <c r="E270" s="1109">
        <f t="shared" si="16"/>
        <v>42.212600000000002</v>
      </c>
      <c r="F270" s="353">
        <f>SUMIF('ПО КОРИСНИЦИМА'!$C$3:$C$544,B270,'ПО КОРИСНИЦИМА'!$I$3:$I$544)</f>
        <v>1477441</v>
      </c>
      <c r="G270" s="258">
        <f t="shared" si="17"/>
        <v>2022559</v>
      </c>
      <c r="H270" s="261"/>
    </row>
    <row r="271" spans="1:8" ht="25.5">
      <c r="A271" s="89"/>
      <c r="B271" s="597" t="s">
        <v>4369</v>
      </c>
      <c r="C271" s="527" t="s">
        <v>4430</v>
      </c>
      <c r="D271" s="258">
        <f>SUMIF('ПО КОРИСНИЦИМА'!$C$3:$C$544,B271,'ПО КОРИСНИЦИМА'!$H$3:$H$544)</f>
        <v>3000000</v>
      </c>
      <c r="E271" s="1109">
        <f t="shared" si="16"/>
        <v>60</v>
      </c>
      <c r="F271" s="353">
        <f>SUMIF('ПО КОРИСНИЦИМА'!$C$3:$C$544,B271,'ПО КОРИСНИЦИМА'!$I$3:$I$544)</f>
        <v>1800000</v>
      </c>
      <c r="G271" s="258">
        <f t="shared" si="17"/>
        <v>1200000</v>
      </c>
      <c r="H271" s="261"/>
    </row>
    <row r="272" spans="1:8" ht="30" hidden="1" customHeight="1">
      <c r="A272" s="89"/>
      <c r="B272" s="596" t="s">
        <v>4428</v>
      </c>
      <c r="C272" s="527" t="s">
        <v>4431</v>
      </c>
      <c r="D272" s="258">
        <f>SUMIF('ПО КОРИСНИЦИМА'!$C$3:$C$544,B272,'ПО КОРИСНИЦИМА'!$H$3:$H$544)</f>
        <v>0</v>
      </c>
      <c r="E272" s="1105" t="e">
        <f t="shared" si="16"/>
        <v>#DIV/0!</v>
      </c>
      <c r="F272" s="353">
        <f>SUMIF('ПО КОРИСНИЦИМА'!$C$3:$C$544,B272,'ПО КОРИСНИЦИМА'!$I$3:$I$544)</f>
        <v>0</v>
      </c>
      <c r="G272" s="258">
        <f t="shared" si="9"/>
        <v>0</v>
      </c>
      <c r="H272" s="261"/>
    </row>
    <row r="273" spans="1:8" ht="21.75" hidden="1" customHeight="1">
      <c r="A273" s="89"/>
      <c r="B273" s="597" t="s">
        <v>4429</v>
      </c>
      <c r="C273" s="527" t="s">
        <v>4432</v>
      </c>
      <c r="D273" s="258">
        <f>SUMIF('ПО КОРИСНИЦИМА'!$C$3:$C$544,B273,'ПО КОРИСНИЦИМА'!$H$3:$H$544)</f>
        <v>0</v>
      </c>
      <c r="E273" s="1105" t="e">
        <f t="shared" si="16"/>
        <v>#DIV/0!</v>
      </c>
      <c r="F273" s="353">
        <f>SUMIF('ПО КОРИСНИЦИМА'!$C$3:$C$544,B273,'ПО КОРИСНИЦИМА'!$I$3:$I$544)</f>
        <v>0</v>
      </c>
      <c r="G273" s="260">
        <f t="shared" si="9"/>
        <v>0</v>
      </c>
      <c r="H273" s="261"/>
    </row>
    <row r="274" spans="1:8" hidden="1">
      <c r="A274" s="92"/>
      <c r="B274" s="92" t="s">
        <v>4217</v>
      </c>
      <c r="C274" s="235" t="str">
        <f>IFERROR(VLOOKUP(B274,'ПО КОРИСНИЦИМА'!$C$3:$J$505,5,FALSE),"")</f>
        <v/>
      </c>
      <c r="D274" s="258">
        <f>SUMIF('ПО КОРИСНИЦИМА'!$C$3:$C$544,B274,'ПО КОРИСНИЦИМА'!$H$3:$H$544)</f>
        <v>0</v>
      </c>
      <c r="E274" s="1105" t="e">
        <f t="shared" si="16"/>
        <v>#DIV/0!</v>
      </c>
      <c r="F274" s="353">
        <f>SUMIF('ПО КОРИСНИЦИМА'!$C$3:$C$544,B274,'ПО КОРИСНИЦИМА'!$I$3:$I$544)</f>
        <v>0</v>
      </c>
      <c r="G274" s="260">
        <f t="shared" si="9"/>
        <v>0</v>
      </c>
      <c r="H274" s="262"/>
    </row>
    <row r="275" spans="1:8" hidden="1">
      <c r="A275" s="92"/>
      <c r="B275" s="92" t="s">
        <v>4525</v>
      </c>
      <c r="C275" s="235" t="str">
        <f>IFERROR(VLOOKUP(B275,'ПО КОРИСНИЦИМА'!$C$3:$J$505,5,FALSE),"")</f>
        <v/>
      </c>
      <c r="D275" s="251">
        <f>SUMIF('ПО КОРИСНИЦИМА'!$G$3:$G$505,"Свега за пројекат 1201-П6:",'ПО КОРИСНИЦИМА'!$H$3:$H$505)</f>
        <v>0</v>
      </c>
      <c r="E275" s="1105" t="e">
        <f t="shared" si="16"/>
        <v>#DIV/0!</v>
      </c>
      <c r="F275" s="1085">
        <f>SUMIF('ПО КОРИСНИЦИМА'!$G$3:$G$505,"Свега за пројекат 1201-П6:",'ПО КОРИСНИЦИМА'!$I$3:$I$505)</f>
        <v>0</v>
      </c>
      <c r="G275" s="260">
        <f t="shared" si="9"/>
        <v>0</v>
      </c>
      <c r="H275" s="261"/>
    </row>
    <row r="276" spans="1:8" hidden="1">
      <c r="A276" s="92"/>
      <c r="B276" s="92" t="s">
        <v>4526</v>
      </c>
      <c r="C276" s="235" t="str">
        <f>IFERROR(VLOOKUP(B276,'ПО КОРИСНИЦИМА'!$C$3:$J$505,5,FALSE),"")</f>
        <v/>
      </c>
      <c r="D276" s="251">
        <f>SUMIF('ПО КОРИСНИЦИМА'!$G$3:$G$505,"Свега за пројекат 1201-П7:",'ПО КОРИСНИЦИМА'!$H$3:$H$505)</f>
        <v>0</v>
      </c>
      <c r="E276" s="1105" t="e">
        <f t="shared" si="16"/>
        <v>#DIV/0!</v>
      </c>
      <c r="F276" s="1085">
        <f>SUMIF('ПО КОРИСНИЦИМА'!$G$3:$G$505,"Свега за пројекат 1201-П7:",'ПО КОРИСНИЦИМА'!$I$3:$I$505)</f>
        <v>0</v>
      </c>
      <c r="G276" s="260">
        <f t="shared" si="9"/>
        <v>0</v>
      </c>
      <c r="H276" s="261"/>
    </row>
    <row r="277" spans="1:8" hidden="1">
      <c r="A277" s="92"/>
      <c r="B277" s="92" t="s">
        <v>4527</v>
      </c>
      <c r="C277" s="235" t="str">
        <f>IFERROR(VLOOKUP(B277,'ПО КОРИСНИЦИМА'!$C$3:$J$505,5,FALSE),"")</f>
        <v/>
      </c>
      <c r="D277" s="251">
        <f>SUMIF('ПО КОРИСНИЦИМА'!$G$3:$G$505,"Свега за пројекат 1201-П8:",'ПО КОРИСНИЦИМА'!$H$3:$H$505)</f>
        <v>0</v>
      </c>
      <c r="E277" s="1105" t="e">
        <f t="shared" si="16"/>
        <v>#DIV/0!</v>
      </c>
      <c r="F277" s="1085">
        <f>SUMIF('ПО КОРИСНИЦИМА'!$G$3:$G$505,"Свега за пројекат 1201-П8:",'ПО КОРИСНИЦИМА'!$I$3:$I$505)</f>
        <v>0</v>
      </c>
      <c r="G277" s="260">
        <f t="shared" si="9"/>
        <v>0</v>
      </c>
      <c r="H277" s="261"/>
    </row>
    <row r="278" spans="1:8" hidden="1">
      <c r="A278" s="92"/>
      <c r="B278" s="92" t="s">
        <v>4528</v>
      </c>
      <c r="C278" s="235" t="str">
        <f>IFERROR(VLOOKUP(B278,'ПО КОРИСНИЦИМА'!$C$3:$J$505,5,FALSE),"")</f>
        <v/>
      </c>
      <c r="D278" s="251">
        <f>SUMIF('ПО КОРИСНИЦИМА'!$G$3:$G$505,"Свега за пројекат 1201-П9:",'ПО КОРИСНИЦИМА'!$H$3:$H$505)</f>
        <v>0</v>
      </c>
      <c r="E278" s="1105" t="e">
        <f t="shared" si="16"/>
        <v>#DIV/0!</v>
      </c>
      <c r="F278" s="1085">
        <f>SUMIF('ПО КОРИСНИЦИМА'!$G$3:$G$505,"Свега за пројекат 1201-П9:",'ПО КОРИСНИЦИМА'!$I$3:$I$505)</f>
        <v>0</v>
      </c>
      <c r="G278" s="260">
        <f t="shared" si="9"/>
        <v>0</v>
      </c>
      <c r="H278" s="261"/>
    </row>
    <row r="279" spans="1:8" hidden="1">
      <c r="A279" s="92"/>
      <c r="B279" s="92" t="s">
        <v>4218</v>
      </c>
      <c r="C279" s="235" t="str">
        <f>IFERROR(VLOOKUP(B279,'ПО КОРИСНИЦИМА'!$C$3:$J$505,5,FALSE),"")</f>
        <v/>
      </c>
      <c r="D279" s="251">
        <f>SUMIF('ПО КОРИСНИЦИМА'!$G$3:$G$505,"Свега за пројекат 1201-П10:",'ПО КОРИСНИЦИМА'!$H$3:$H$505)</f>
        <v>0</v>
      </c>
      <c r="E279" s="1105" t="e">
        <f t="shared" si="16"/>
        <v>#DIV/0!</v>
      </c>
      <c r="F279" s="1085">
        <f>SUMIF('ПО КОРИСНИЦИМА'!$G$3:$G$505,"Свега за пројекат 1201-П10:",'ПО КОРИСНИЦИМА'!$I$3:$I$505)</f>
        <v>0</v>
      </c>
      <c r="G279" s="260">
        <f t="shared" si="9"/>
        <v>0</v>
      </c>
      <c r="H279" s="261"/>
    </row>
    <row r="280" spans="1:8" hidden="1">
      <c r="A280" s="92"/>
      <c r="B280" s="92" t="s">
        <v>4219</v>
      </c>
      <c r="C280" s="235" t="str">
        <f>IFERROR(VLOOKUP(B280,'ПО КОРИСНИЦИМА'!$C$3:$J$505,5,FALSE),"")</f>
        <v/>
      </c>
      <c r="D280" s="251">
        <f>SUMIF('ПО КОРИСНИЦИМА'!$G$3:$G$505,"Свега за пројекат 1201-П11:",'ПО КОРИСНИЦИМА'!$H$3:$H$505)</f>
        <v>0</v>
      </c>
      <c r="E280" s="1105" t="e">
        <f t="shared" si="16"/>
        <v>#DIV/0!</v>
      </c>
      <c r="F280" s="1085">
        <f>SUMIF('ПО КОРИСНИЦИМА'!$G$3:$G$505,"Свега за пројекат 1201-П11:",'ПО КОРИСНИЦИМА'!$I$3:$I$505)</f>
        <v>0</v>
      </c>
      <c r="G280" s="260">
        <f t="shared" si="9"/>
        <v>0</v>
      </c>
      <c r="H280" s="261"/>
    </row>
    <row r="281" spans="1:8" hidden="1">
      <c r="A281" s="92"/>
      <c r="B281" s="92" t="s">
        <v>4220</v>
      </c>
      <c r="C281" s="235" t="str">
        <f>IFERROR(VLOOKUP(B281,'ПО КОРИСНИЦИМА'!$C$3:$J$505,5,FALSE),"")</f>
        <v/>
      </c>
      <c r="D281" s="251">
        <f>SUMIF('ПО КОРИСНИЦИМА'!$G$3:$G$505,"Свега за пројекат 1201-П12:",'ПО КОРИСНИЦИМА'!$H$3:$H$505)</f>
        <v>0</v>
      </c>
      <c r="E281" s="1105" t="e">
        <f t="shared" si="16"/>
        <v>#DIV/0!</v>
      </c>
      <c r="F281" s="1085">
        <f>SUMIF('ПО КОРИСНИЦИМА'!$G$3:$G$505,"Свега за пројекат 1201-П12:",'ПО КОРИСНИЦИМА'!$I$3:$I$505)</f>
        <v>0</v>
      </c>
      <c r="G281" s="260">
        <f t="shared" si="9"/>
        <v>0</v>
      </c>
      <c r="H281" s="261"/>
    </row>
    <row r="282" spans="1:8" hidden="1">
      <c r="A282" s="92"/>
      <c r="B282" s="92" t="s">
        <v>4221</v>
      </c>
      <c r="C282" s="235" t="str">
        <f>IFERROR(VLOOKUP(B282,'ПО КОРИСНИЦИМА'!$C$3:$J$505,5,FALSE),"")</f>
        <v/>
      </c>
      <c r="D282" s="251">
        <f>SUMIF('ПО КОРИСНИЦИМА'!$G$3:$G$505,"Свега за пројекат 1201-П13:",'ПО КОРИСНИЦИМА'!$H$3:$H$505)</f>
        <v>0</v>
      </c>
      <c r="E282" s="1105" t="e">
        <f t="shared" si="16"/>
        <v>#DIV/0!</v>
      </c>
      <c r="F282" s="1085">
        <f>SUMIF('ПО КОРИСНИЦИМА'!$G$3:$G$505,"Свега за пројекат 1201-П13:",'ПО КОРИСНИЦИМА'!$I$3:$I$505)</f>
        <v>0</v>
      </c>
      <c r="G282" s="260">
        <f t="shared" si="9"/>
        <v>0</v>
      </c>
      <c r="H282" s="261"/>
    </row>
    <row r="283" spans="1:8" hidden="1">
      <c r="A283" s="92"/>
      <c r="B283" s="92" t="s">
        <v>4222</v>
      </c>
      <c r="C283" s="235" t="str">
        <f>IFERROR(VLOOKUP(B283,'ПО КОРИСНИЦИМА'!$C$3:$J$505,5,FALSE),"")</f>
        <v/>
      </c>
      <c r="D283" s="251">
        <f>SUMIF('ПО КОРИСНИЦИМА'!$G$3:$G$505,"Свега за пројекат 1201-П14:",'ПО КОРИСНИЦИМА'!$H$3:$H$505)</f>
        <v>0</v>
      </c>
      <c r="E283" s="1105" t="e">
        <f t="shared" si="16"/>
        <v>#DIV/0!</v>
      </c>
      <c r="F283" s="1085">
        <f>SUMIF('ПО КОРИСНИЦИМА'!$G$3:$G$505,"Свега за пројекат 1201-П14:",'ПО КОРИСНИЦИМА'!$I$3:$I$505)</f>
        <v>0</v>
      </c>
      <c r="G283" s="260">
        <f t="shared" si="9"/>
        <v>0</v>
      </c>
      <c r="H283" s="261"/>
    </row>
    <row r="284" spans="1:8" hidden="1">
      <c r="A284" s="92"/>
      <c r="B284" s="92" t="s">
        <v>4223</v>
      </c>
      <c r="C284" s="235" t="str">
        <f>IFERROR(VLOOKUP(B284,'ПО КОРИСНИЦИМА'!$C$3:$J$505,5,FALSE),"")</f>
        <v/>
      </c>
      <c r="D284" s="251">
        <f>SUMIF('ПО КОРИСНИЦИМА'!$G$3:$G$505,"Свега за пројекат 1201-П15:",'ПО КОРИСНИЦИМА'!$H$3:$H$505)</f>
        <v>0</v>
      </c>
      <c r="E284" s="1105" t="e">
        <f t="shared" si="16"/>
        <v>#DIV/0!</v>
      </c>
      <c r="F284" s="1085">
        <f>SUMIF('ПО КОРИСНИЦИМА'!$G$3:$G$505,"Свега за пројекат 1201-П15:",'ПО КОРИСНИЦИМА'!$I$3:$I$505)</f>
        <v>0</v>
      </c>
      <c r="G284" s="260">
        <f t="shared" si="9"/>
        <v>0</v>
      </c>
      <c r="H284" s="261"/>
    </row>
    <row r="285" spans="1:8" hidden="1">
      <c r="A285" s="92"/>
      <c r="B285" s="92" t="s">
        <v>4224</v>
      </c>
      <c r="C285" s="235" t="str">
        <f>IFERROR(VLOOKUP(B285,'ПО КОРИСНИЦИМА'!$C$3:$J$505,5,FALSE),"")</f>
        <v/>
      </c>
      <c r="D285" s="251">
        <f>SUMIF('ПО КОРИСНИЦИМА'!$G$3:$G$505,"Свега за пројекат 1201-П16:",'ПО КОРИСНИЦИМА'!$H$3:$H$505)</f>
        <v>0</v>
      </c>
      <c r="E285" s="1105" t="e">
        <f t="shared" si="16"/>
        <v>#DIV/0!</v>
      </c>
      <c r="F285" s="1085">
        <f>SUMIF('ПО КОРИСНИЦИМА'!$G$3:$G$505,"Свега за пројекат 1201-П16:",'ПО КОРИСНИЦИМА'!$I$3:$I$505)</f>
        <v>0</v>
      </c>
      <c r="G285" s="260">
        <f t="shared" si="9"/>
        <v>0</v>
      </c>
      <c r="H285" s="261"/>
    </row>
    <row r="286" spans="1:8" hidden="1">
      <c r="A286" s="92"/>
      <c r="B286" s="92" t="s">
        <v>4225</v>
      </c>
      <c r="C286" s="235" t="str">
        <f>IFERROR(VLOOKUP(B286,'ПО КОРИСНИЦИМА'!$C$3:$J$505,5,FALSE),"")</f>
        <v/>
      </c>
      <c r="D286" s="251">
        <f>SUMIF('ПО КОРИСНИЦИМА'!$G$3:$G$505,"Свега за пројекат 1201-П17:",'ПО КОРИСНИЦИМА'!$H$3:$H$505)</f>
        <v>0</v>
      </c>
      <c r="E286" s="1105" t="e">
        <f t="shared" si="16"/>
        <v>#DIV/0!</v>
      </c>
      <c r="F286" s="1085">
        <f>SUMIF('ПО КОРИСНИЦИМА'!$G$3:$G$505,"Свега за пројекат 1201-П17:",'ПО КОРИСНИЦИМА'!$I$3:$I$505)</f>
        <v>0</v>
      </c>
      <c r="G286" s="260">
        <f t="shared" si="9"/>
        <v>0</v>
      </c>
      <c r="H286" s="261"/>
    </row>
    <row r="287" spans="1:8" hidden="1">
      <c r="A287" s="92"/>
      <c r="B287" s="92" t="s">
        <v>4226</v>
      </c>
      <c r="C287" s="235" t="str">
        <f>IFERROR(VLOOKUP(B287,'ПО КОРИСНИЦИМА'!$C$3:$J$505,5,FALSE),"")</f>
        <v/>
      </c>
      <c r="D287" s="251">
        <f>SUMIF('ПО КОРИСНИЦИМА'!$G$3:$G$505,"Свега за пројекат 1201-П18:",'ПО КОРИСНИЦИМА'!$H$3:$H$505)</f>
        <v>0</v>
      </c>
      <c r="E287" s="1105" t="e">
        <f t="shared" si="16"/>
        <v>#DIV/0!</v>
      </c>
      <c r="F287" s="1085">
        <f>SUMIF('ПО КОРИСНИЦИМА'!$G$3:$G$505,"Свега за пројекат 1201-П18:",'ПО КОРИСНИЦИМА'!$I$3:$I$505)</f>
        <v>0</v>
      </c>
      <c r="G287" s="260">
        <f t="shared" si="9"/>
        <v>0</v>
      </c>
      <c r="H287" s="261"/>
    </row>
    <row r="288" spans="1:8" hidden="1">
      <c r="A288" s="92"/>
      <c r="B288" s="92" t="s">
        <v>4227</v>
      </c>
      <c r="C288" s="235" t="str">
        <f>IFERROR(VLOOKUP(B288,'ПО КОРИСНИЦИМА'!$C$3:$J$505,5,FALSE),"")</f>
        <v/>
      </c>
      <c r="D288" s="251">
        <f>SUMIF('ПО КОРИСНИЦИМА'!$G$3:$G$505,"Свега за пројекат 1201-П19:",'ПО КОРИСНИЦИМА'!$H$3:$H$505)</f>
        <v>0</v>
      </c>
      <c r="E288" s="1105" t="e">
        <f t="shared" si="16"/>
        <v>#DIV/0!</v>
      </c>
      <c r="F288" s="1085">
        <f>SUMIF('ПО КОРИСНИЦИМА'!$G$3:$G$505,"Свега за пројекат 1201-П19:",'ПО КОРИСНИЦИМА'!$I$3:$I$505)</f>
        <v>0</v>
      </c>
      <c r="G288" s="260">
        <f t="shared" si="9"/>
        <v>0</v>
      </c>
      <c r="H288" s="261"/>
    </row>
    <row r="289" spans="1:8" hidden="1">
      <c r="A289" s="92"/>
      <c r="B289" s="92" t="s">
        <v>4228</v>
      </c>
      <c r="C289" s="235" t="str">
        <f>IFERROR(VLOOKUP(B289,'ПО КОРИСНИЦИМА'!$C$3:$J$505,5,FALSE),"")</f>
        <v/>
      </c>
      <c r="D289" s="251">
        <f>SUMIF('ПО КОРИСНИЦИМА'!$G$3:$G$505,"Свега за пројекат 1201-П20:",'ПО КОРИСНИЦИМА'!$H$3:$H$505)</f>
        <v>0</v>
      </c>
      <c r="E289" s="1105" t="e">
        <f t="shared" si="16"/>
        <v>#DIV/0!</v>
      </c>
      <c r="F289" s="1085">
        <f>SUMIF('ПО КОРИСНИЦИМА'!$G$3:$G$505,"Свега за пројекат 1201-П20:",'ПО КОРИСНИЦИМА'!$I$3:$I$505)</f>
        <v>0</v>
      </c>
      <c r="G289" s="260">
        <f t="shared" si="9"/>
        <v>0</v>
      </c>
      <c r="H289" s="261"/>
    </row>
    <row r="290" spans="1:8" hidden="1">
      <c r="A290" s="92"/>
      <c r="B290" s="92" t="s">
        <v>4229</v>
      </c>
      <c r="C290" s="235" t="str">
        <f>IFERROR(VLOOKUP(B290,'ПО КОРИСНИЦИМА'!$C$3:$J$505,5,FALSE),"")</f>
        <v/>
      </c>
      <c r="D290" s="251">
        <f>SUMIF('ПО КОРИСНИЦИМА'!$G$3:$G$505,"Свега за пројекат 1201-П21:",'ПО КОРИСНИЦИМА'!$H$3:$H$505)</f>
        <v>0</v>
      </c>
      <c r="E290" s="1105" t="e">
        <f t="shared" si="16"/>
        <v>#DIV/0!</v>
      </c>
      <c r="F290" s="1085">
        <f>SUMIF('ПО КОРИСНИЦИМА'!$G$3:$G$505,"Свега за пројекат 1201-П21:",'ПО КОРИСНИЦИМА'!$I$3:$I$505)</f>
        <v>0</v>
      </c>
      <c r="G290" s="260">
        <f t="shared" si="9"/>
        <v>0</v>
      </c>
      <c r="H290" s="261"/>
    </row>
    <row r="291" spans="1:8" hidden="1">
      <c r="A291" s="92"/>
      <c r="B291" s="92" t="s">
        <v>4230</v>
      </c>
      <c r="C291" s="235" t="str">
        <f>IFERROR(VLOOKUP(B291,'ПО КОРИСНИЦИМА'!$C$3:$J$505,5,FALSE),"")</f>
        <v/>
      </c>
      <c r="D291" s="251">
        <f>SUMIF('ПО КОРИСНИЦИМА'!$G$3:$G$505,"Свега за пројекат 1201-П22:",'ПО КОРИСНИЦИМА'!$H$3:$H$505)</f>
        <v>0</v>
      </c>
      <c r="E291" s="1105" t="e">
        <f t="shared" si="16"/>
        <v>#DIV/0!</v>
      </c>
      <c r="F291" s="1085">
        <f>SUMIF('ПО КОРИСНИЦИМА'!$G$3:$G$505,"Свега за пројекат 1201-П22:",'ПО КОРИСНИЦИМА'!$I$3:$I$505)</f>
        <v>0</v>
      </c>
      <c r="G291" s="260">
        <f t="shared" si="9"/>
        <v>0</v>
      </c>
      <c r="H291" s="261"/>
    </row>
    <row r="292" spans="1:8" hidden="1">
      <c r="A292" s="92"/>
      <c r="B292" s="92" t="s">
        <v>4231</v>
      </c>
      <c r="C292" s="235" t="str">
        <f>IFERROR(VLOOKUP(B292,'ПО КОРИСНИЦИМА'!$C$3:$J$505,5,FALSE),"")</f>
        <v/>
      </c>
      <c r="D292" s="251">
        <f>SUMIF('ПО КОРИСНИЦИМА'!$G$3:$G$505,"Свега за пројекат 1201-П23:",'ПО КОРИСНИЦИМА'!$H$3:$H$505)</f>
        <v>0</v>
      </c>
      <c r="E292" s="1105" t="e">
        <f t="shared" si="16"/>
        <v>#DIV/0!</v>
      </c>
      <c r="F292" s="1085">
        <f>SUMIF('ПО КОРИСНИЦИМА'!$G$3:$G$505,"Свега за пројекат 1201-П23:",'ПО КОРИСНИЦИМА'!$I$3:$I$505)</f>
        <v>0</v>
      </c>
      <c r="G292" s="260">
        <f t="shared" si="9"/>
        <v>0</v>
      </c>
      <c r="H292" s="261"/>
    </row>
    <row r="293" spans="1:8" hidden="1">
      <c r="A293" s="92"/>
      <c r="B293" s="92" t="s">
        <v>4232</v>
      </c>
      <c r="C293" s="235" t="str">
        <f>IFERROR(VLOOKUP(B293,'ПО КОРИСНИЦИМА'!$C$3:$J$505,5,FALSE),"")</f>
        <v/>
      </c>
      <c r="D293" s="251">
        <f>SUMIF('ПО КОРИСНИЦИМА'!$G$3:$G$505,"Свега за пројекат 1201-П24:",'ПО КОРИСНИЦИМА'!$H$3:$H$505)</f>
        <v>0</v>
      </c>
      <c r="E293" s="1105" t="e">
        <f t="shared" si="16"/>
        <v>#DIV/0!</v>
      </c>
      <c r="F293" s="1085">
        <f>SUMIF('ПО КОРИСНИЦИМА'!$G$3:$G$505,"Свега за пројекат 1201-П24:",'ПО КОРИСНИЦИМА'!$I$3:$I$505)</f>
        <v>0</v>
      </c>
      <c r="G293" s="260">
        <f t="shared" si="9"/>
        <v>0</v>
      </c>
      <c r="H293" s="261"/>
    </row>
    <row r="294" spans="1:8" s="90" customFormat="1" ht="14.25">
      <c r="A294" s="204" t="s">
        <v>3598</v>
      </c>
      <c r="B294" s="205"/>
      <c r="C294" s="233" t="s">
        <v>3675</v>
      </c>
      <c r="D294" s="255">
        <f>SUM(D295:D318)</f>
        <v>79882359</v>
      </c>
      <c r="E294" s="1110">
        <f t="shared" si="16"/>
        <v>53.747342576600673</v>
      </c>
      <c r="F294" s="445">
        <f>SUM(F295:F318)</f>
        <v>42934645.149999999</v>
      </c>
      <c r="G294" s="255">
        <f>D294-F294</f>
        <v>36947713.850000001</v>
      </c>
      <c r="H294" s="256"/>
    </row>
    <row r="295" spans="1:8" ht="25.5">
      <c r="A295" s="203"/>
      <c r="B295" s="209" t="s">
        <v>3992</v>
      </c>
      <c r="C295" s="528" t="s">
        <v>3993</v>
      </c>
      <c r="D295" s="258">
        <f>SUMIF('ПО КОРИСНИЦИМА'!$C$3:$C$544,B295,'ПО КОРИСНИЦИМА'!$H$3:$H$544)</f>
        <v>21000000</v>
      </c>
      <c r="E295" s="1109">
        <f t="shared" si="16"/>
        <v>72.559517857142851</v>
      </c>
      <c r="F295" s="353">
        <f>SUMIF('ПО КОРИСНИЦИМА'!$C$3:$C$544,B295,'ПО КОРИСНИЦИМА'!$I$3:$I$544)</f>
        <v>15237498.75</v>
      </c>
      <c r="G295" s="265">
        <f>D295-F295</f>
        <v>5762501.25</v>
      </c>
      <c r="H295" s="259"/>
    </row>
    <row r="296" spans="1:8" hidden="1">
      <c r="A296" s="89"/>
      <c r="B296" s="92" t="s">
        <v>3994</v>
      </c>
      <c r="C296" s="527" t="s">
        <v>4433</v>
      </c>
      <c r="D296" s="258">
        <f>SUMIF('ПО КОРИСНИЦИМА'!$C$3:$C$544,B296,'ПО КОРИСНИЦИМА'!$H$3:$H$544)</f>
        <v>0</v>
      </c>
      <c r="E296" s="1109" t="e">
        <f t="shared" si="16"/>
        <v>#DIV/0!</v>
      </c>
      <c r="F296" s="353">
        <f>SUMIF('ПО КОРИСНИЦИМА'!$C$3:$C$544,B296,'ПО КОРИСНИЦИМА'!$I$3:$I$544)</f>
        <v>0</v>
      </c>
      <c r="G296" s="265">
        <f t="shared" ref="G296:G300" si="18">D296-F296</f>
        <v>0</v>
      </c>
      <c r="H296" s="262"/>
    </row>
    <row r="297" spans="1:8">
      <c r="A297" s="89"/>
      <c r="B297" s="92" t="s">
        <v>4374</v>
      </c>
      <c r="C297" s="242" t="s">
        <v>4375</v>
      </c>
      <c r="D297" s="258">
        <f>SUMIF('ПО КОРИСНИЦИМА'!$C$3:$C$544,B297,'ПО КОРИСНИЦИМА'!$H$3:$H$544)</f>
        <v>30782359</v>
      </c>
      <c r="E297" s="1109">
        <f t="shared" si="16"/>
        <v>88.462673474765197</v>
      </c>
      <c r="F297" s="353">
        <f>SUMIF('ПО КОРИСНИЦИМА'!$C$3:$C$544,B297,'ПО КОРИСНИЦИМА'!$I$3:$I$544)</f>
        <v>27230897.729999997</v>
      </c>
      <c r="G297" s="265">
        <f t="shared" si="18"/>
        <v>3551461.2700000033</v>
      </c>
      <c r="H297" s="261"/>
    </row>
    <row r="298" spans="1:8">
      <c r="A298" s="89"/>
      <c r="B298" s="92" t="s">
        <v>4342</v>
      </c>
      <c r="C298" s="242" t="s">
        <v>4371</v>
      </c>
      <c r="D298" s="258">
        <f>SUMIF('ПО КОРИСНИЦИМА'!$C$3:$C$544,B298,'ПО КОРИСНИЦИМА'!$H$3:$H$544)</f>
        <v>1700000</v>
      </c>
      <c r="E298" s="1109">
        <f t="shared" si="16"/>
        <v>27.426392352941175</v>
      </c>
      <c r="F298" s="353">
        <f>SUMIF('ПО КОРИСНИЦИМА'!$C$3:$C$544,B298,'ПО КОРИСНИЦИМА'!$I$3:$I$544)</f>
        <v>466248.67</v>
      </c>
      <c r="G298" s="265">
        <f t="shared" si="18"/>
        <v>1233751.33</v>
      </c>
      <c r="H298" s="261"/>
    </row>
    <row r="299" spans="1:8">
      <c r="A299" s="92"/>
      <c r="B299" s="92" t="s">
        <v>4233</v>
      </c>
      <c r="C299" s="235" t="str">
        <f>IFERROR(VLOOKUP(B299,'ПО КОРИСНИЦИМА'!$C$3:$J$505,5,FALSE),"")</f>
        <v>Пројекат "Изградња отворених базена у Владичином Хану"</v>
      </c>
      <c r="D299" s="258">
        <f>SUMIF('ПО КОРИСНИЦИМА'!$C$3:$C$544,B299,'ПО КОРИСНИЦИМА'!$H$3:$H$544)</f>
        <v>25000000</v>
      </c>
      <c r="E299" s="1109">
        <f t="shared" si="16"/>
        <v>0</v>
      </c>
      <c r="F299" s="353">
        <f>SUMIF('ПО КОРИСНИЦИМА'!$C$3:$C$544,B299,'ПО КОРИСНИЦИМА'!$I$3:$I$544)</f>
        <v>0</v>
      </c>
      <c r="G299" s="265">
        <f t="shared" si="18"/>
        <v>25000000</v>
      </c>
      <c r="H299" s="262"/>
    </row>
    <row r="300" spans="1:8" ht="26.25">
      <c r="A300" s="92"/>
      <c r="B300" s="92" t="s">
        <v>4529</v>
      </c>
      <c r="C300" s="525" t="str">
        <f>IFERROR(VLOOKUP(B300,'ПО КОРИСНИЦИМА'!$C$3:$J$505,5,FALSE),"")</f>
        <v>Пројекат "Изградња тениских терена на УСЦ Куњак" - Владичин Хан</v>
      </c>
      <c r="D300" s="258">
        <f>SUMIF('ПО КОРИСНИЦИМА'!$C$3:$C$544,B300,'ПО КОРИСНИЦИМА'!$H$3:$H$544)</f>
        <v>1400000</v>
      </c>
      <c r="E300" s="1109">
        <f t="shared" si="16"/>
        <v>0</v>
      </c>
      <c r="F300" s="353">
        <f>SUMIF('ПО КОРИСНИЦИМА'!$C$3:$C$544,B300,'ПО КОРИСНИЦИМА'!$I$3:$I$544)</f>
        <v>0</v>
      </c>
      <c r="G300" s="265">
        <f t="shared" si="18"/>
        <v>1400000</v>
      </c>
      <c r="H300" s="261"/>
    </row>
    <row r="301" spans="1:8" hidden="1">
      <c r="A301" s="92"/>
      <c r="B301" s="92" t="s">
        <v>4530</v>
      </c>
      <c r="C301" s="235" t="str">
        <f>IFERROR(VLOOKUP(B301,'ПО КОРИСНИЦИМА'!$C$3:$J$505,5,FALSE),"")</f>
        <v/>
      </c>
      <c r="D301" s="251">
        <f>SUMIF('ПО КОРИСНИЦИМА'!$G$3:$G$505,"Свега за пројекат 1301-П7:",'ПО КОРИСНИЦИМА'!$H$3:$H$505)</f>
        <v>0</v>
      </c>
      <c r="E301" s="1105" t="e">
        <f t="shared" si="16"/>
        <v>#DIV/0!</v>
      </c>
      <c r="F301" s="1085">
        <f>SUMIF('ПО КОРИСНИЦИМА'!$G$3:$G$505,"Свега за пројекат 1301-П7:",'ПО КОРИСНИЦИМА'!$I$3:$I$505)</f>
        <v>0</v>
      </c>
      <c r="G301" s="260">
        <f t="shared" si="9"/>
        <v>0</v>
      </c>
      <c r="H301" s="261"/>
    </row>
    <row r="302" spans="1:8" hidden="1">
      <c r="A302" s="92"/>
      <c r="B302" s="92" t="s">
        <v>4531</v>
      </c>
      <c r="C302" s="235" t="str">
        <f>IFERROR(VLOOKUP(B302,'ПО КОРИСНИЦИМА'!$C$3:$J$505,5,FALSE),"")</f>
        <v/>
      </c>
      <c r="D302" s="251">
        <f>SUMIF('ПО КОРИСНИЦИМА'!$G$3:$G$505,"Свега за пројекат 1301-П8:",'ПО КОРИСНИЦИМА'!$H$3:$H$505)</f>
        <v>0</v>
      </c>
      <c r="E302" s="1105" t="e">
        <f t="shared" si="16"/>
        <v>#DIV/0!</v>
      </c>
      <c r="F302" s="1085">
        <f>SUMIF('ПО КОРИСНИЦИМА'!$G$3:$G$505,"Свега за пројекат 1301-П8:",'ПО КОРИСНИЦИМА'!$I$3:$I$505)</f>
        <v>0</v>
      </c>
      <c r="G302" s="260">
        <f t="shared" si="9"/>
        <v>0</v>
      </c>
      <c r="H302" s="261"/>
    </row>
    <row r="303" spans="1:8" hidden="1">
      <c r="A303" s="92"/>
      <c r="B303" s="92" t="s">
        <v>4532</v>
      </c>
      <c r="C303" s="235" t="str">
        <f>IFERROR(VLOOKUP(B303,'ПО КОРИСНИЦИМА'!$C$3:$J$505,5,FALSE),"")</f>
        <v/>
      </c>
      <c r="D303" s="251">
        <f>SUMIF('ПО КОРИСНИЦИМА'!$G$3:$G$505,"Свега за пројекат 1301-П9:",'ПО КОРИСНИЦИМА'!$H$3:$H$505)</f>
        <v>0</v>
      </c>
      <c r="E303" s="1105" t="e">
        <f t="shared" si="16"/>
        <v>#DIV/0!</v>
      </c>
      <c r="F303" s="1085">
        <f>SUMIF('ПО КОРИСНИЦИМА'!$G$3:$G$505,"Свега за пројекат 1301-П9:",'ПО КОРИСНИЦИМА'!$I$3:$I$505)</f>
        <v>0</v>
      </c>
      <c r="G303" s="260">
        <f t="shared" si="9"/>
        <v>0</v>
      </c>
      <c r="H303" s="261"/>
    </row>
    <row r="304" spans="1:8" hidden="1">
      <c r="A304" s="92"/>
      <c r="B304" s="92" t="s">
        <v>4234</v>
      </c>
      <c r="C304" s="235" t="str">
        <f>IFERROR(VLOOKUP(B304,'ПО КОРИСНИЦИМА'!$C$3:$J$505,5,FALSE),"")</f>
        <v/>
      </c>
      <c r="D304" s="251">
        <f>SUMIF('ПО КОРИСНИЦИМА'!$G$3:$G$505,"Свега за пројекат 1301-П10:",'ПО КОРИСНИЦИМА'!$H$3:$H$505)</f>
        <v>0</v>
      </c>
      <c r="E304" s="1105" t="e">
        <f t="shared" si="16"/>
        <v>#DIV/0!</v>
      </c>
      <c r="F304" s="1085">
        <f>SUMIF('ПО КОРИСНИЦИМА'!$G$3:$G$505,"Свега за пројекат 1301-П10:",'ПО КОРИСНИЦИМА'!$I$3:$I$505)</f>
        <v>0</v>
      </c>
      <c r="G304" s="260">
        <f t="shared" si="9"/>
        <v>0</v>
      </c>
      <c r="H304" s="261"/>
    </row>
    <row r="305" spans="1:8" hidden="1">
      <c r="A305" s="92"/>
      <c r="B305" s="92" t="s">
        <v>4235</v>
      </c>
      <c r="C305" s="235" t="str">
        <f>IFERROR(VLOOKUP(B305,'ПО КОРИСНИЦИМА'!$C$3:$J$505,5,FALSE),"")</f>
        <v/>
      </c>
      <c r="D305" s="251">
        <f>SUMIF('ПО КОРИСНИЦИМА'!$G$3:$G$505,"Свега за пројекат 1301-П11:",'ПО КОРИСНИЦИМА'!$H$3:$H$505)</f>
        <v>0</v>
      </c>
      <c r="E305" s="1105" t="e">
        <f t="shared" si="16"/>
        <v>#DIV/0!</v>
      </c>
      <c r="F305" s="1085">
        <f>SUMIF('ПО КОРИСНИЦИМА'!$G$3:$G$505,"Свега за пројекат 1301-П11:",'ПО КОРИСНИЦИМА'!$I$3:$I$505)</f>
        <v>0</v>
      </c>
      <c r="G305" s="260">
        <f t="shared" si="9"/>
        <v>0</v>
      </c>
      <c r="H305" s="261"/>
    </row>
    <row r="306" spans="1:8" hidden="1">
      <c r="A306" s="92"/>
      <c r="B306" s="92" t="s">
        <v>4236</v>
      </c>
      <c r="C306" s="235" t="str">
        <f>IFERROR(VLOOKUP(B306,'ПО КОРИСНИЦИМА'!$C$3:$J$505,5,FALSE),"")</f>
        <v/>
      </c>
      <c r="D306" s="251">
        <f>SUMIF('ПО КОРИСНИЦИМА'!$G$3:$G$505,"Свега за пројекат 1301-П12:",'ПО КОРИСНИЦИМА'!$H$3:$H$505)</f>
        <v>0</v>
      </c>
      <c r="E306" s="1105" t="e">
        <f t="shared" si="16"/>
        <v>#DIV/0!</v>
      </c>
      <c r="F306" s="1085">
        <f>SUMIF('ПО КОРИСНИЦИМА'!$G$3:$G$505,"Свега за пројекат 1301-П12:",'ПО КОРИСНИЦИМА'!$I$3:$I$505)</f>
        <v>0</v>
      </c>
      <c r="G306" s="260">
        <f t="shared" si="9"/>
        <v>0</v>
      </c>
      <c r="H306" s="261"/>
    </row>
    <row r="307" spans="1:8" hidden="1">
      <c r="A307" s="92"/>
      <c r="B307" s="92" t="s">
        <v>4237</v>
      </c>
      <c r="C307" s="235" t="str">
        <f>IFERROR(VLOOKUP(B307,'ПО КОРИСНИЦИМА'!$C$3:$J$505,5,FALSE),"")</f>
        <v/>
      </c>
      <c r="D307" s="251">
        <f>SUMIF('ПО КОРИСНИЦИМА'!$G$3:$G$505,"Свега за пројекат 1301-П13:",'ПО КОРИСНИЦИМА'!$H$3:$H$505)</f>
        <v>0</v>
      </c>
      <c r="E307" s="1105" t="e">
        <f t="shared" si="16"/>
        <v>#DIV/0!</v>
      </c>
      <c r="F307" s="1085">
        <f>SUMIF('ПО КОРИСНИЦИМА'!$G$3:$G$505,"Свега за пројекат 1301-П13:",'ПО КОРИСНИЦИМА'!$I$3:$I$505)</f>
        <v>0</v>
      </c>
      <c r="G307" s="260">
        <f t="shared" si="9"/>
        <v>0</v>
      </c>
      <c r="H307" s="261"/>
    </row>
    <row r="308" spans="1:8" hidden="1">
      <c r="A308" s="92"/>
      <c r="B308" s="92" t="s">
        <v>4238</v>
      </c>
      <c r="C308" s="235" t="str">
        <f>IFERROR(VLOOKUP(B308,'ПО КОРИСНИЦИМА'!$C$3:$J$505,5,FALSE),"")</f>
        <v/>
      </c>
      <c r="D308" s="251">
        <f>SUMIF('ПО КОРИСНИЦИМА'!$G$3:$G$505,"Свега за пројекат 1301-П14:",'ПО КОРИСНИЦИМА'!$H$3:$H$505)</f>
        <v>0</v>
      </c>
      <c r="E308" s="1105" t="e">
        <f t="shared" si="16"/>
        <v>#DIV/0!</v>
      </c>
      <c r="F308" s="1085">
        <f>SUMIF('ПО КОРИСНИЦИМА'!$G$3:$G$505,"Свега за пројекат 1301-П14:",'ПО КОРИСНИЦИМА'!$I$3:$I$505)</f>
        <v>0</v>
      </c>
      <c r="G308" s="260">
        <f t="shared" si="9"/>
        <v>0</v>
      </c>
      <c r="H308" s="261"/>
    </row>
    <row r="309" spans="1:8" hidden="1">
      <c r="A309" s="92"/>
      <c r="B309" s="92" t="s">
        <v>4239</v>
      </c>
      <c r="C309" s="235" t="str">
        <f>IFERROR(VLOOKUP(B309,'ПО КОРИСНИЦИМА'!$C$3:$J$505,5,FALSE),"")</f>
        <v/>
      </c>
      <c r="D309" s="251">
        <f>SUMIF('ПО КОРИСНИЦИМА'!$G$3:$G$505,"Свега за пројекат 1301-П15:",'ПО КОРИСНИЦИМА'!$H$3:$H$505)</f>
        <v>0</v>
      </c>
      <c r="E309" s="1105" t="e">
        <f t="shared" si="16"/>
        <v>#DIV/0!</v>
      </c>
      <c r="F309" s="1085">
        <f>SUMIF('ПО КОРИСНИЦИМА'!$G$3:$G$505,"Свега за пројекат 1301-П15:",'ПО КОРИСНИЦИМА'!$I$3:$I$505)</f>
        <v>0</v>
      </c>
      <c r="G309" s="260">
        <f t="shared" si="9"/>
        <v>0</v>
      </c>
      <c r="H309" s="261"/>
    </row>
    <row r="310" spans="1:8" hidden="1">
      <c r="A310" s="92"/>
      <c r="B310" s="92" t="s">
        <v>4240</v>
      </c>
      <c r="C310" s="235" t="str">
        <f>IFERROR(VLOOKUP(B310,'ПО КОРИСНИЦИМА'!$C$3:$J$505,5,FALSE),"")</f>
        <v/>
      </c>
      <c r="D310" s="251">
        <f>SUMIF('ПО КОРИСНИЦИМА'!$G$3:$G$505,"Свега за пројекат 1301-П16:",'ПО КОРИСНИЦИМА'!$H$3:$H$505)</f>
        <v>0</v>
      </c>
      <c r="E310" s="1105" t="e">
        <f t="shared" si="16"/>
        <v>#DIV/0!</v>
      </c>
      <c r="F310" s="1085">
        <f>SUMIF('ПО КОРИСНИЦИМА'!$G$3:$G$505,"Свега за пројекат 1301-П16:",'ПО КОРИСНИЦИМА'!$I$3:$I$505)</f>
        <v>0</v>
      </c>
      <c r="G310" s="260">
        <f t="shared" si="9"/>
        <v>0</v>
      </c>
      <c r="H310" s="261"/>
    </row>
    <row r="311" spans="1:8" hidden="1">
      <c r="A311" s="92"/>
      <c r="B311" s="92" t="s">
        <v>4241</v>
      </c>
      <c r="C311" s="235" t="str">
        <f>IFERROR(VLOOKUP(B311,'ПО КОРИСНИЦИМА'!$C$3:$J$505,5,FALSE),"")</f>
        <v/>
      </c>
      <c r="D311" s="251">
        <f>SUMIF('ПО КОРИСНИЦИМА'!$G$3:$G$505,"Свега за пројекат 1301-П17:",'ПО КОРИСНИЦИМА'!$H$3:$H$505)</f>
        <v>0</v>
      </c>
      <c r="E311" s="1105" t="e">
        <f t="shared" si="16"/>
        <v>#DIV/0!</v>
      </c>
      <c r="F311" s="1085">
        <f>SUMIF('ПО КОРИСНИЦИМА'!$G$3:$G$505,"Свега за пројекат 1301-П17:",'ПО КОРИСНИЦИМА'!$I$3:$I$505)</f>
        <v>0</v>
      </c>
      <c r="G311" s="260">
        <f t="shared" si="9"/>
        <v>0</v>
      </c>
      <c r="H311" s="261"/>
    </row>
    <row r="312" spans="1:8" hidden="1">
      <c r="A312" s="92"/>
      <c r="B312" s="92" t="s">
        <v>4242</v>
      </c>
      <c r="C312" s="235" t="str">
        <f>IFERROR(VLOOKUP(B312,'ПО КОРИСНИЦИМА'!$C$3:$J$505,5,FALSE),"")</f>
        <v/>
      </c>
      <c r="D312" s="251">
        <f>SUMIF('ПО КОРИСНИЦИМА'!$G$3:$G$505,"Свега за пројекат 1301-П18:",'ПО КОРИСНИЦИМА'!$H$3:$H$505)</f>
        <v>0</v>
      </c>
      <c r="E312" s="1105" t="e">
        <f t="shared" si="16"/>
        <v>#DIV/0!</v>
      </c>
      <c r="F312" s="1085">
        <f>SUMIF('ПО КОРИСНИЦИМА'!$G$3:$G$505,"Свега за пројекат 1301-П18:",'ПО КОРИСНИЦИМА'!$I$3:$I$505)</f>
        <v>0</v>
      </c>
      <c r="G312" s="260">
        <f t="shared" si="9"/>
        <v>0</v>
      </c>
      <c r="H312" s="261"/>
    </row>
    <row r="313" spans="1:8" hidden="1">
      <c r="A313" s="92"/>
      <c r="B313" s="92" t="s">
        <v>4243</v>
      </c>
      <c r="C313" s="235" t="str">
        <f>IFERROR(VLOOKUP(B313,'ПО КОРИСНИЦИМА'!$C$3:$J$505,5,FALSE),"")</f>
        <v/>
      </c>
      <c r="D313" s="251">
        <f>SUMIF('ПО КОРИСНИЦИМА'!$G$3:$G$505,"Свега за пројекат 1301-П19:",'ПО КОРИСНИЦИМА'!$H$3:$H$505)</f>
        <v>0</v>
      </c>
      <c r="E313" s="1105" t="e">
        <f t="shared" si="16"/>
        <v>#DIV/0!</v>
      </c>
      <c r="F313" s="1085">
        <f>SUMIF('ПО КОРИСНИЦИМА'!$G$3:$G$505,"Свега за пројекат 1301-П19:",'ПО КОРИСНИЦИМА'!$I$3:$I$505)</f>
        <v>0</v>
      </c>
      <c r="G313" s="260">
        <f t="shared" si="9"/>
        <v>0</v>
      </c>
      <c r="H313" s="261"/>
    </row>
    <row r="314" spans="1:8" hidden="1">
      <c r="A314" s="92"/>
      <c r="B314" s="92" t="s">
        <v>4244</v>
      </c>
      <c r="C314" s="235" t="str">
        <f>IFERROR(VLOOKUP(B314,'ПО КОРИСНИЦИМА'!$C$3:$J$505,5,FALSE),"")</f>
        <v/>
      </c>
      <c r="D314" s="251">
        <f>SUMIF('ПО КОРИСНИЦИМА'!$G$3:$G$505,"Свега за пројекат 1301-П20:",'ПО КОРИСНИЦИМА'!$H$3:$H$505)</f>
        <v>0</v>
      </c>
      <c r="E314" s="1105" t="e">
        <f t="shared" si="16"/>
        <v>#DIV/0!</v>
      </c>
      <c r="F314" s="1085">
        <f>SUMIF('ПО КОРИСНИЦИМА'!$G$3:$G$505,"Свега за пројекат 1301-П20:",'ПО КОРИСНИЦИМА'!$I$3:$I$505)</f>
        <v>0</v>
      </c>
      <c r="G314" s="260">
        <f t="shared" si="9"/>
        <v>0</v>
      </c>
      <c r="H314" s="261"/>
    </row>
    <row r="315" spans="1:8" hidden="1">
      <c r="A315" s="92"/>
      <c r="B315" s="92" t="s">
        <v>4245</v>
      </c>
      <c r="C315" s="235" t="str">
        <f>IFERROR(VLOOKUP(B315,'ПО КОРИСНИЦИМА'!$C$3:$J$505,5,FALSE),"")</f>
        <v/>
      </c>
      <c r="D315" s="251">
        <f>SUMIF('ПО КОРИСНИЦИМА'!$G$3:$G$505,"Свега за пројекат 1301-П21:",'ПО КОРИСНИЦИМА'!$H$3:$H$505)</f>
        <v>0</v>
      </c>
      <c r="E315" s="1105" t="e">
        <f t="shared" si="16"/>
        <v>#DIV/0!</v>
      </c>
      <c r="F315" s="1085">
        <f>SUMIF('ПО КОРИСНИЦИМА'!$G$3:$G$505,"Свега за пројекат 1301-П21:",'ПО КОРИСНИЦИМА'!$I$3:$I$505)</f>
        <v>0</v>
      </c>
      <c r="G315" s="260">
        <f t="shared" si="9"/>
        <v>0</v>
      </c>
      <c r="H315" s="261"/>
    </row>
    <row r="316" spans="1:8" hidden="1">
      <c r="A316" s="92"/>
      <c r="B316" s="92" t="s">
        <v>4246</v>
      </c>
      <c r="C316" s="235" t="str">
        <f>IFERROR(VLOOKUP(B316,'ПО КОРИСНИЦИМА'!$C$3:$J$505,5,FALSE),"")</f>
        <v/>
      </c>
      <c r="D316" s="251">
        <f>SUMIF('ПО КОРИСНИЦИМА'!$G$3:$G$505,"Свега за пројекат 1301-П22:",'ПО КОРИСНИЦИМА'!$H$3:$H$505)</f>
        <v>0</v>
      </c>
      <c r="E316" s="1105" t="e">
        <f t="shared" si="16"/>
        <v>#DIV/0!</v>
      </c>
      <c r="F316" s="1085">
        <f>SUMIF('ПО КОРИСНИЦИМА'!$G$3:$G$505,"Свега за пројекат 1301-П22:",'ПО КОРИСНИЦИМА'!$I$3:$I$505)</f>
        <v>0</v>
      </c>
      <c r="G316" s="260">
        <f t="shared" si="9"/>
        <v>0</v>
      </c>
      <c r="H316" s="261"/>
    </row>
    <row r="317" spans="1:8" hidden="1">
      <c r="A317" s="92"/>
      <c r="B317" s="92" t="s">
        <v>4247</v>
      </c>
      <c r="C317" s="235" t="str">
        <f>IFERROR(VLOOKUP(B317,'ПО КОРИСНИЦИМА'!$C$3:$J$505,5,FALSE),"")</f>
        <v/>
      </c>
      <c r="D317" s="251">
        <f>SUMIF('ПО КОРИСНИЦИМА'!$G$3:$G$505,"Свега за пројекат 1301-П23:",'ПО КОРИСНИЦИМА'!$H$3:$H$505)</f>
        <v>0</v>
      </c>
      <c r="E317" s="1105" t="e">
        <f t="shared" si="16"/>
        <v>#DIV/0!</v>
      </c>
      <c r="F317" s="1085">
        <f>SUMIF('ПО КОРИСНИЦИМА'!$G$3:$G$505,"Свега за пројекат 1301-П23:",'ПО КОРИСНИЦИМА'!$I$3:$I$505)</f>
        <v>0</v>
      </c>
      <c r="G317" s="260">
        <f t="shared" si="9"/>
        <v>0</v>
      </c>
      <c r="H317" s="261"/>
    </row>
    <row r="318" spans="1:8" hidden="1">
      <c r="A318" s="92"/>
      <c r="B318" s="92" t="s">
        <v>4248</v>
      </c>
      <c r="C318" s="235" t="str">
        <f>IFERROR(VLOOKUP(B318,'ПО КОРИСНИЦИМА'!$C$3:$J$505,5,FALSE),"")</f>
        <v/>
      </c>
      <c r="D318" s="251">
        <f>SUMIF('ПО КОРИСНИЦИМА'!$G$3:$G$505,"Свега за пројекат 1301-П24:",'ПО КОРИСНИЦИМА'!$H$3:$H$505)</f>
        <v>0</v>
      </c>
      <c r="E318" s="1105" t="e">
        <f t="shared" si="16"/>
        <v>#DIV/0!</v>
      </c>
      <c r="F318" s="1085">
        <f>SUMIF('ПО КОРИСНИЦИМА'!$G$3:$G$505,"Свега за пројекат 1301-П24:",'ПО КОРИСНИЦИМА'!$I$3:$I$505)</f>
        <v>0</v>
      </c>
      <c r="G318" s="260">
        <f t="shared" si="9"/>
        <v>0</v>
      </c>
      <c r="H318" s="261"/>
    </row>
    <row r="319" spans="1:8" s="90" customFormat="1" ht="14.25">
      <c r="A319" s="204" t="s">
        <v>3601</v>
      </c>
      <c r="B319" s="205"/>
      <c r="C319" s="233" t="s">
        <v>4434</v>
      </c>
      <c r="D319" s="255">
        <f>SUM(D320:D331)</f>
        <v>154897641</v>
      </c>
      <c r="E319" s="1110">
        <f t="shared" si="16"/>
        <v>54.659034516865233</v>
      </c>
      <c r="F319" s="445">
        <f>SUM(F320:F331)</f>
        <v>84665555.059999987</v>
      </c>
      <c r="G319" s="255">
        <f>D319-F319</f>
        <v>70232085.940000013</v>
      </c>
      <c r="H319" s="256"/>
    </row>
    <row r="320" spans="1:8">
      <c r="A320" s="203"/>
      <c r="B320" s="595" t="s">
        <v>3995</v>
      </c>
      <c r="C320" s="236" t="s">
        <v>3996</v>
      </c>
      <c r="D320" s="258">
        <f>SUMIF('ПО КОРИСНИЦИМА'!$C$3:$C$544,B320,'ПО КОРИСНИЦИМА'!$H$3:$H$544)</f>
        <v>124900000</v>
      </c>
      <c r="E320" s="1109">
        <f t="shared" si="16"/>
        <v>66.531177469975972</v>
      </c>
      <c r="F320" s="353">
        <f>SUMIF('ПО КОРИСНИЦИМА'!$C$3:$C$544,B320,'ПО КОРИСНИЦИМА'!$I$3:$I$544)</f>
        <v>83097440.659999982</v>
      </c>
      <c r="G320" s="265">
        <f>D320-F320</f>
        <v>41802559.340000018</v>
      </c>
      <c r="H320" s="259"/>
    </row>
    <row r="321" spans="1:8">
      <c r="A321" s="89"/>
      <c r="B321" s="232" t="s">
        <v>3997</v>
      </c>
      <c r="C321" s="237" t="s">
        <v>4436</v>
      </c>
      <c r="D321" s="258">
        <f>SUMIF('ПО КОРИСНИЦИМА'!$C$3:$C$544,B321,'ПО КОРИСНИЦИМА'!$H$3:$H$544)</f>
        <v>1300000</v>
      </c>
      <c r="E321" s="1109">
        <f t="shared" si="16"/>
        <v>3.4615384615384617</v>
      </c>
      <c r="F321" s="353">
        <f>SUMIF('ПО КОРИСНИЦИМА'!$C$3:$C$544,B321,'ПО КОРИСНИЦИМА'!$I$3:$I$544)</f>
        <v>45000</v>
      </c>
      <c r="G321" s="265">
        <f t="shared" ref="G321:G331" si="19">D321-F321</f>
        <v>1255000</v>
      </c>
      <c r="H321" s="262"/>
    </row>
    <row r="322" spans="1:8" hidden="1">
      <c r="A322" s="89"/>
      <c r="B322" s="232" t="s">
        <v>3998</v>
      </c>
      <c r="C322" s="237" t="s">
        <v>4437</v>
      </c>
      <c r="D322" s="258">
        <f>SUMIF('ПО КОРИСНИЦИМА'!$C$3:$C$544,B322,'ПО КОРИСНИЦИМА'!$H$3:$H$544)</f>
        <v>0</v>
      </c>
      <c r="E322" s="1109" t="e">
        <f t="shared" si="16"/>
        <v>#DIV/0!</v>
      </c>
      <c r="F322" s="353">
        <f>SUMIF('ПО КОРИСНИЦИМА'!$C$3:$C$544,B322,'ПО КОРИСНИЦИМА'!$I$3:$I$544)</f>
        <v>0</v>
      </c>
      <c r="G322" s="265">
        <f t="shared" si="19"/>
        <v>0</v>
      </c>
      <c r="H322" s="262"/>
    </row>
    <row r="323" spans="1:8">
      <c r="A323" s="89"/>
      <c r="B323" s="232" t="s">
        <v>3999</v>
      </c>
      <c r="C323" s="237" t="s">
        <v>4000</v>
      </c>
      <c r="D323" s="258">
        <f>SUMIF('ПО КОРИСНИЦИМА'!$C$3:$C$544,B323,'ПО КОРИСНИЦИМА'!$H$3:$H$544)</f>
        <v>2700000</v>
      </c>
      <c r="E323" s="1109">
        <f t="shared" si="16"/>
        <v>56.411644444444441</v>
      </c>
      <c r="F323" s="353">
        <f>SUMIF('ПО КОРИСНИЦИМА'!$C$3:$C$544,B323,'ПО КОРИСНИЦИМА'!$I$3:$I$544)</f>
        <v>1523114.4</v>
      </c>
      <c r="G323" s="265">
        <f t="shared" si="19"/>
        <v>1176885.6000000001</v>
      </c>
      <c r="H323" s="262"/>
    </row>
    <row r="324" spans="1:8" hidden="1">
      <c r="A324" s="89"/>
      <c r="B324" s="232" t="s">
        <v>4001</v>
      </c>
      <c r="C324" s="237" t="s">
        <v>4533</v>
      </c>
      <c r="D324" s="258">
        <f>SUMIF('ПО КОРИСНИЦИМА'!$C$3:$C$544,B324,'ПО КОРИСНИЦИМА'!$H$3:$H$544)</f>
        <v>0</v>
      </c>
      <c r="E324" s="1109" t="e">
        <f t="shared" si="16"/>
        <v>#DIV/0!</v>
      </c>
      <c r="F324" s="353">
        <f>SUMIF('ПО КОРИСНИЦИМА'!$C$3:$C$544,B324,'ПО КОРИСНИЦИМА'!$I$3:$I$544)</f>
        <v>0</v>
      </c>
      <c r="G324" s="265">
        <f t="shared" si="19"/>
        <v>0</v>
      </c>
      <c r="H324" s="262"/>
    </row>
    <row r="325" spans="1:8" hidden="1">
      <c r="A325" s="89"/>
      <c r="B325" s="232" t="s">
        <v>4002</v>
      </c>
      <c r="C325" s="237" t="s">
        <v>4438</v>
      </c>
      <c r="D325" s="258">
        <f>SUMIF('ПО КОРИСНИЦИМА'!$C$3:$C$544,B325,'ПО КОРИСНИЦИМА'!$H$3:$H$544)</f>
        <v>0</v>
      </c>
      <c r="E325" s="1109" t="e">
        <f t="shared" si="16"/>
        <v>#DIV/0!</v>
      </c>
      <c r="F325" s="353">
        <f>SUMIF('ПО КОРИСНИЦИМА'!$C$3:$C$544,B325,'ПО КОРИСНИЦИМА'!$I$3:$I$544)</f>
        <v>0</v>
      </c>
      <c r="G325" s="265">
        <f t="shared" si="19"/>
        <v>0</v>
      </c>
      <c r="H325" s="262"/>
    </row>
    <row r="326" spans="1:8" hidden="1">
      <c r="A326" s="89"/>
      <c r="B326" s="232" t="s">
        <v>4003</v>
      </c>
      <c r="C326" s="237" t="s">
        <v>4439</v>
      </c>
      <c r="D326" s="258">
        <f>SUMIF('ПО КОРИСНИЦИМА'!$C$3:$C$544,B326,'ПО КОРИСНИЦИМА'!$H$3:$H$544)</f>
        <v>0</v>
      </c>
      <c r="E326" s="1109" t="e">
        <f t="shared" ref="E326:E337" si="20">F326/D326*100</f>
        <v>#DIV/0!</v>
      </c>
      <c r="F326" s="353">
        <f>SUMIF('ПО КОРИСНИЦИМА'!$C$3:$C$544,B326,'ПО КОРИСНИЦИМА'!$I$3:$I$544)</f>
        <v>0</v>
      </c>
      <c r="G326" s="265">
        <f t="shared" si="19"/>
        <v>0</v>
      </c>
      <c r="H326" s="262"/>
    </row>
    <row r="327" spans="1:8">
      <c r="A327" s="89"/>
      <c r="B327" s="232" t="s">
        <v>4004</v>
      </c>
      <c r="C327" s="237" t="s">
        <v>4262</v>
      </c>
      <c r="D327" s="258">
        <f>SUMIF('ПО КОРИСНИЦИМА'!$C$3:$C$544,B327,'ПО КОРИСНИЦИМА'!$H$3:$H$544)</f>
        <v>22997641</v>
      </c>
      <c r="E327" s="1109">
        <f t="shared" si="20"/>
        <v>0</v>
      </c>
      <c r="F327" s="353">
        <f>SUMIF('ПО КОРИСНИЦИМА'!$C$3:$C$544,B327,'ПО КОРИСНИЦИМА'!$I$3:$I$544)</f>
        <v>0</v>
      </c>
      <c r="G327" s="265">
        <f t="shared" si="19"/>
        <v>22997641</v>
      </c>
      <c r="H327" s="262"/>
    </row>
    <row r="328" spans="1:8">
      <c r="A328" s="89"/>
      <c r="B328" s="232" t="s">
        <v>4005</v>
      </c>
      <c r="C328" s="237" t="s">
        <v>4261</v>
      </c>
      <c r="D328" s="258">
        <f>SUMIF('ПО КОРИСНИЦИМА'!$C$3:$C$544,B328,'ПО КОРИСНИЦИМА'!$H$3:$H$544)</f>
        <v>1000000</v>
      </c>
      <c r="E328" s="1109">
        <f t="shared" si="20"/>
        <v>0</v>
      </c>
      <c r="F328" s="353">
        <f>SUMIF('ПО КОРИСНИЦИМА'!$C$3:$C$544,B328,'ПО КОРИСНИЦИМА'!$I$3:$I$544)</f>
        <v>0</v>
      </c>
      <c r="G328" s="265">
        <f t="shared" si="19"/>
        <v>1000000</v>
      </c>
      <c r="H328" s="262"/>
    </row>
    <row r="329" spans="1:8" hidden="1">
      <c r="A329" s="89"/>
      <c r="B329" s="232" t="s">
        <v>4435</v>
      </c>
      <c r="C329" s="237" t="s">
        <v>4037</v>
      </c>
      <c r="D329" s="258">
        <f>SUMIF('ПО КОРИСНИЦИМА'!$C$3:$C$544,B329,'ПО КОРИСНИЦИМА'!$H$3:$H$544)</f>
        <v>0</v>
      </c>
      <c r="E329" s="1109">
        <v>0</v>
      </c>
      <c r="F329" s="353">
        <f>SUMIF('ПО КОРИСНИЦИМА'!$C$3:$C$544,B329,'ПО КОРИСНИЦИМА'!$I$3:$I$544)</f>
        <v>0</v>
      </c>
      <c r="G329" s="265">
        <f t="shared" si="19"/>
        <v>0</v>
      </c>
      <c r="H329" s="261"/>
    </row>
    <row r="330" spans="1:8" hidden="1">
      <c r="A330" s="89"/>
      <c r="B330" s="232" t="s">
        <v>4318</v>
      </c>
      <c r="C330" s="237" t="s">
        <v>4440</v>
      </c>
      <c r="D330" s="258">
        <f>SUMIF('ПО КОРИСНИЦИМА'!$C$3:$C$544,B330,'ПО КОРИСНИЦИМА'!$H$3:$H$544)</f>
        <v>0</v>
      </c>
      <c r="E330" s="1109">
        <v>0</v>
      </c>
      <c r="F330" s="353">
        <f>SUMIF('ПО КОРИСНИЦИМА'!$C$3:$C$544,B330,'ПО КОРИСНИЦИМА'!$I$3:$I$544)</f>
        <v>0</v>
      </c>
      <c r="G330" s="265">
        <f t="shared" si="19"/>
        <v>0</v>
      </c>
      <c r="H330" s="261"/>
    </row>
    <row r="331" spans="1:8" ht="28.5" customHeight="1">
      <c r="A331" s="89"/>
      <c r="B331" s="232" t="s">
        <v>4648</v>
      </c>
      <c r="C331" s="523" t="s">
        <v>4676</v>
      </c>
      <c r="D331" s="258">
        <f>SUMIF('ПО КОРИСНИЦИМА'!$C$3:$C$544,B331,'ПО КОРИСНИЦИМА'!$H$3:$H$544)</f>
        <v>2000000</v>
      </c>
      <c r="E331" s="1109">
        <f t="shared" si="20"/>
        <v>0</v>
      </c>
      <c r="F331" s="353">
        <f>SUMIF('ПО КОРИСНИЦИМА'!$C$3:$C$544,B331,'ПО КОРИСНИЦИМА'!$I$3:$I$544)</f>
        <v>0</v>
      </c>
      <c r="G331" s="265">
        <f t="shared" si="19"/>
        <v>2000000</v>
      </c>
      <c r="H331" s="261"/>
    </row>
    <row r="332" spans="1:8">
      <c r="A332" s="529">
        <v>2101</v>
      </c>
      <c r="B332" s="530"/>
      <c r="C332" s="531" t="s">
        <v>4441</v>
      </c>
      <c r="D332" s="532">
        <f>D333+D334+D335</f>
        <v>15570000</v>
      </c>
      <c r="E332" s="1110">
        <f t="shared" si="20"/>
        <v>57.065007385998697</v>
      </c>
      <c r="F332" s="533">
        <f>F333+F334</f>
        <v>8885021.6499999985</v>
      </c>
      <c r="G332" s="534">
        <f>D332-F332</f>
        <v>6684978.3500000015</v>
      </c>
      <c r="H332" s="535"/>
    </row>
    <row r="333" spans="1:8">
      <c r="A333" s="89"/>
      <c r="B333" s="232" t="s">
        <v>4329</v>
      </c>
      <c r="C333" s="237" t="s">
        <v>4443</v>
      </c>
      <c r="D333" s="258">
        <f>SUMIF('ПО КОРИСНИЦИМА'!$C$3:$C$544,B333,'ПО КОРИСНИЦИМА'!$H$3:$H$544)</f>
        <v>4910000</v>
      </c>
      <c r="E333" s="1109">
        <f t="shared" si="20"/>
        <v>52.065344602851326</v>
      </c>
      <c r="F333" s="353">
        <f>SUMIF('ПО КОРИСНИЦИМА'!$C$3:$C$544,B333,'ПО КОРИСНИЦИМА'!$I$3:$I$544)</f>
        <v>2556408.42</v>
      </c>
      <c r="G333" s="266">
        <f>D333-F333</f>
        <v>2353591.58</v>
      </c>
      <c r="H333" s="261"/>
    </row>
    <row r="334" spans="1:8">
      <c r="A334" s="89"/>
      <c r="B334" s="232" t="s">
        <v>4339</v>
      </c>
      <c r="C334" s="237" t="s">
        <v>4444</v>
      </c>
      <c r="D334" s="258">
        <f>SUMIF('ПО КОРИСНИЦИМА'!$C$3:$C$544,B334,'ПО КОРИСНИЦИМА'!$H$3:$H$544)</f>
        <v>10660000</v>
      </c>
      <c r="E334" s="1109">
        <f t="shared" si="20"/>
        <v>59.367853939962465</v>
      </c>
      <c r="F334" s="353">
        <f>SUMIF('ПО КОРИСНИЦИМА'!$C$3:$C$544,B334,'ПО КОРИСНИЦИМА'!$I$3:$I$544)</f>
        <v>6328613.2299999995</v>
      </c>
      <c r="G334" s="266">
        <f>D334-F334</f>
        <v>4331386.7700000005</v>
      </c>
      <c r="H334" s="261"/>
    </row>
    <row r="335" spans="1:8" hidden="1">
      <c r="A335" s="89"/>
      <c r="B335" s="232" t="s">
        <v>4442</v>
      </c>
      <c r="C335" s="237" t="s">
        <v>4445</v>
      </c>
      <c r="D335" s="258">
        <f>SUMIF('ПО КОРИСНИЦИМА'!$C$3:$C$544,B335,'ПО КОРИСНИЦИМА'!$H$3:$H$544)</f>
        <v>0</v>
      </c>
      <c r="E335" s="1105" t="e">
        <f t="shared" si="20"/>
        <v>#DIV/0!</v>
      </c>
      <c r="F335" s="353">
        <f>SUMIF('ПО КОРИСНИЦИМА'!$C$3:$C$544,B335,'ПО КОРИСНИЦИМА'!$I$3:$I$544)</f>
        <v>0</v>
      </c>
      <c r="G335" s="266">
        <f t="shared" ref="G335:G340" si="21">D335+F335</f>
        <v>0</v>
      </c>
      <c r="H335" s="261"/>
    </row>
    <row r="336" spans="1:8" ht="26.25">
      <c r="A336" s="590" t="s">
        <v>4457</v>
      </c>
      <c r="B336" s="530"/>
      <c r="C336" s="601" t="s">
        <v>4534</v>
      </c>
      <c r="D336" s="532">
        <f>D337+D338+D339</f>
        <v>5000000</v>
      </c>
      <c r="E336" s="1110">
        <f t="shared" si="20"/>
        <v>45.275239999999997</v>
      </c>
      <c r="F336" s="533">
        <f>F337</f>
        <v>2263762</v>
      </c>
      <c r="G336" s="534">
        <f>D336-F336</f>
        <v>2736238</v>
      </c>
      <c r="H336" s="261"/>
    </row>
    <row r="337" spans="1:8">
      <c r="A337" s="89"/>
      <c r="B337" s="232" t="s">
        <v>4459</v>
      </c>
      <c r="C337" s="237" t="s">
        <v>4535</v>
      </c>
      <c r="D337" s="258">
        <f>SUMIF('ПО КОРИСНИЦИМА'!$C$3:$C$544,B337,'ПО КОРИСНИЦИМА'!$H$3:$H$544)</f>
        <v>5000000</v>
      </c>
      <c r="E337" s="1109">
        <f t="shared" si="20"/>
        <v>45.275239999999997</v>
      </c>
      <c r="F337" s="353">
        <f>SUMIF('ПО КОРИСНИЦИМА'!$C$3:$C$544,B337,'ПО КОРИСНИЦИМА'!$I$3:$I$544)</f>
        <v>2263762</v>
      </c>
      <c r="G337" s="266">
        <f>D337-F337</f>
        <v>2736238</v>
      </c>
      <c r="H337" s="261"/>
    </row>
    <row r="338" spans="1:8" hidden="1">
      <c r="A338" s="89"/>
      <c r="B338" s="232" t="s">
        <v>4536</v>
      </c>
      <c r="C338" s="237"/>
      <c r="D338" s="258">
        <f>SUMIF('ПО КОРИСНИЦИМА'!$C$3:$C$544,B338,'ПО КОРИСНИЦИМА'!$H$3:$H$544)</f>
        <v>0</v>
      </c>
      <c r="E338" s="1106">
        <f t="shared" ref="E338:E340" si="22">IFERROR(D338/$D$341,"-")</f>
        <v>0</v>
      </c>
      <c r="F338" s="353">
        <f>SUMIF('ПО КОРИСНИЦИМА'!$C$3:$C$544,B338,'ПО КОРИСНИЦИМА'!$I$3:$I$544)</f>
        <v>0</v>
      </c>
      <c r="G338" s="266">
        <f>D338+F338</f>
        <v>0</v>
      </c>
      <c r="H338" s="261"/>
    </row>
    <row r="339" spans="1:8" hidden="1">
      <c r="A339" s="89"/>
      <c r="B339" s="232" t="s">
        <v>4537</v>
      </c>
      <c r="C339" s="237"/>
      <c r="D339" s="258">
        <f>SUMIF('ПО КОРИСНИЦИМА'!$C$3:$C$544,B339,'ПО КОРИСНИЦИМА'!$H$3:$H$544)</f>
        <v>0</v>
      </c>
      <c r="E339" s="1106">
        <f t="shared" si="22"/>
        <v>0</v>
      </c>
      <c r="F339" s="353">
        <f>SUMIF('ПО КОРИСНИЦИМА'!$C$3:$C$544,B339,'ПО КОРИСНИЦИМА'!$I$3:$I$544)</f>
        <v>0</v>
      </c>
      <c r="G339" s="266">
        <f>D339+F339</f>
        <v>0</v>
      </c>
      <c r="H339" s="261"/>
    </row>
    <row r="340" spans="1:8" hidden="1">
      <c r="A340" s="89"/>
      <c r="B340" s="232" t="s">
        <v>4538</v>
      </c>
      <c r="C340" s="235" t="str">
        <f>IFERROR(VLOOKUP(B340,'ПО КОРИСНИЦИМА'!$C$3:$J$505,5,FALSE),"")</f>
        <v/>
      </c>
      <c r="D340" s="258">
        <f>SUMIF('ПО КОРИСНИЦИМА'!$C$3:$C$544,B340,'ПО КОРИСНИЦИМА'!$H$3:$H$544)</f>
        <v>0</v>
      </c>
      <c r="E340" s="1107">
        <f t="shared" si="22"/>
        <v>0</v>
      </c>
      <c r="F340" s="353">
        <f>SUMIF('ПО КОРИСНИЦИМА'!$C$3:$C$544,B340,'ПО КОРИСНИЦИМА'!$I$3:$I$544)</f>
        <v>0</v>
      </c>
      <c r="G340" s="266">
        <f t="shared" si="21"/>
        <v>0</v>
      </c>
      <c r="H340" s="262"/>
    </row>
    <row r="341" spans="1:8" ht="27.75" customHeight="1">
      <c r="A341" s="1228"/>
      <c r="B341" s="1229"/>
      <c r="C341" s="243" t="s">
        <v>4009</v>
      </c>
      <c r="D341" s="267">
        <f>D5+D34+D45+D69+D92+D106+D124+D148+D170+D192+D214+D243+D267+D294+D319+D332+D336</f>
        <v>834090000</v>
      </c>
      <c r="E341" s="1108">
        <f>F341/D341*100</f>
        <v>48.74247756956683</v>
      </c>
      <c r="F341" s="1086">
        <f>SUM(F336,F332,F319,F294,F267,F243,F214,F192,F170,F148,F124,F106,F92,F69,F45,F34,F5)</f>
        <v>406556131.15999997</v>
      </c>
      <c r="G341" s="267">
        <f>D341-F341</f>
        <v>427533868.84000003</v>
      </c>
      <c r="H341" s="268"/>
    </row>
    <row r="342" spans="1:8">
      <c r="D342" s="252">
        <f>D341-'По основ. нам.'!C88</f>
        <v>0</v>
      </c>
      <c r="F342" s="683">
        <f>'По основ. нам.'!E88</f>
        <v>406556131.16000003</v>
      </c>
      <c r="G342" s="253">
        <f>Ukupno_izdaci-Програмска!G341</f>
        <v>0</v>
      </c>
    </row>
    <row r="347" spans="1:8">
      <c r="A347" s="206" t="s">
        <v>3662</v>
      </c>
      <c r="B347" s="182">
        <f>D5</f>
        <v>7000000</v>
      </c>
    </row>
    <row r="348" spans="1:8">
      <c r="A348" s="206" t="s">
        <v>3663</v>
      </c>
      <c r="B348" s="182">
        <f>D34</f>
        <v>105870000</v>
      </c>
    </row>
    <row r="349" spans="1:8">
      <c r="A349" s="206" t="s">
        <v>3664</v>
      </c>
      <c r="B349" s="182">
        <f>D45</f>
        <v>22540000</v>
      </c>
    </row>
    <row r="350" spans="1:8">
      <c r="A350" s="206" t="s">
        <v>3665</v>
      </c>
      <c r="B350" s="182">
        <f>D69</f>
        <v>10350000</v>
      </c>
    </row>
    <row r="351" spans="1:8">
      <c r="A351" s="206" t="s">
        <v>3666</v>
      </c>
      <c r="B351" s="182">
        <f>D92</f>
        <v>28800000</v>
      </c>
    </row>
    <row r="352" spans="1:8">
      <c r="A352" s="206" t="s">
        <v>3667</v>
      </c>
      <c r="B352" s="182">
        <f>D106</f>
        <v>37430000</v>
      </c>
    </row>
    <row r="353" spans="1:2">
      <c r="A353" s="206" t="s">
        <v>3668</v>
      </c>
      <c r="B353" s="182">
        <f>D124</f>
        <v>105900000</v>
      </c>
    </row>
    <row r="354" spans="1:2">
      <c r="A354" s="206" t="s">
        <v>3669</v>
      </c>
      <c r="B354" s="182">
        <f>D148</f>
        <v>73400000</v>
      </c>
    </row>
    <row r="355" spans="1:2">
      <c r="A355" s="206" t="s">
        <v>3670</v>
      </c>
      <c r="B355" s="182">
        <f>D170</f>
        <v>65200000</v>
      </c>
    </row>
    <row r="356" spans="1:2">
      <c r="A356" s="206" t="s">
        <v>3671</v>
      </c>
      <c r="B356" s="182">
        <f>D192</f>
        <v>21500000</v>
      </c>
    </row>
    <row r="357" spans="1:2">
      <c r="A357" s="206" t="s">
        <v>3672</v>
      </c>
      <c r="B357" s="182">
        <f>D214</f>
        <v>60650000</v>
      </c>
    </row>
    <row r="358" spans="1:2">
      <c r="A358" s="206" t="s">
        <v>3673</v>
      </c>
      <c r="B358" s="182">
        <f>D243</f>
        <v>9000000</v>
      </c>
    </row>
    <row r="359" spans="1:2">
      <c r="A359" s="206" t="s">
        <v>3674</v>
      </c>
      <c r="B359" s="182">
        <f>D267</f>
        <v>31100000</v>
      </c>
    </row>
    <row r="360" spans="1:2">
      <c r="A360" s="206" t="s">
        <v>3675</v>
      </c>
      <c r="B360" s="182">
        <f>D294</f>
        <v>79882359</v>
      </c>
    </row>
    <row r="361" spans="1:2">
      <c r="A361" s="206" t="s">
        <v>3676</v>
      </c>
      <c r="B361" s="182">
        <f>D319</f>
        <v>154897641</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74803149606299213" bottom="0.74803149606299213"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F87"/>
  <sheetViews>
    <sheetView workbookViewId="0">
      <selection activeCell="A2" sqref="A2:F86"/>
    </sheetView>
  </sheetViews>
  <sheetFormatPr defaultRowHeight="15"/>
  <cols>
    <col min="1" max="1" width="8.7109375" style="85" customWidth="1"/>
    <col min="2" max="2" width="46.5703125" style="85" customWidth="1"/>
    <col min="3" max="3" width="15.85546875" style="85" customWidth="1"/>
    <col min="4" max="4" width="9.140625" style="85"/>
    <col min="5" max="5" width="14.85546875" style="85" customWidth="1"/>
    <col min="6" max="6" width="14.5703125" style="85" customWidth="1"/>
    <col min="7" max="16384" width="9.140625" style="85"/>
  </cols>
  <sheetData>
    <row r="1" spans="1:6" ht="15" customHeight="1">
      <c r="A1" s="1231" t="s">
        <v>3857</v>
      </c>
      <c r="B1" s="1231"/>
      <c r="C1" s="1231"/>
      <c r="D1" s="1231"/>
      <c r="E1" s="1231"/>
      <c r="F1" s="1231"/>
    </row>
    <row r="2" spans="1:6" ht="33.75" customHeight="1">
      <c r="A2" s="228" t="s">
        <v>3858</v>
      </c>
      <c r="B2" s="228" t="s">
        <v>3859</v>
      </c>
      <c r="C2" s="229" t="s">
        <v>4705</v>
      </c>
      <c r="D2" s="229" t="s">
        <v>4702</v>
      </c>
      <c r="E2" s="229" t="s">
        <v>4723</v>
      </c>
      <c r="F2" s="229" t="s">
        <v>4701</v>
      </c>
    </row>
    <row r="3" spans="1:6">
      <c r="A3" s="226" t="s">
        <v>3754</v>
      </c>
      <c r="B3" s="227">
        <v>2</v>
      </c>
      <c r="C3" s="179">
        <v>3</v>
      </c>
      <c r="D3" s="179">
        <v>4</v>
      </c>
      <c r="E3" s="179">
        <v>5</v>
      </c>
      <c r="F3" s="179">
        <v>6</v>
      </c>
    </row>
    <row r="4" spans="1:6">
      <c r="A4" s="94" t="s">
        <v>3860</v>
      </c>
      <c r="B4" s="95" t="s">
        <v>96</v>
      </c>
      <c r="C4" s="354">
        <f>SUM(C5:C13)</f>
        <v>60650000</v>
      </c>
      <c r="D4" s="355">
        <f>E4/C4*100</f>
        <v>42.21381607584501</v>
      </c>
      <c r="E4" s="354">
        <f>SUM(E5:E13)</f>
        <v>25602679.449999999</v>
      </c>
      <c r="F4" s="354">
        <f>SUM(F5:F13)</f>
        <v>35047320.549999997</v>
      </c>
    </row>
    <row r="5" spans="1:6" hidden="1">
      <c r="A5" s="93" t="s">
        <v>3861</v>
      </c>
      <c r="B5" s="96" t="s">
        <v>3862</v>
      </c>
      <c r="C5" s="356">
        <f>SUMIF('ПО КОРИСНИЦИМА'!$D$3:$D$544,A5,'ПО КОРИСНИЦИМА'!$H$3:$H$544)</f>
        <v>0</v>
      </c>
      <c r="D5" s="355" t="e">
        <f t="shared" ref="D5:D68" si="0">E5/C5*100</f>
        <v>#DIV/0!</v>
      </c>
      <c r="E5" s="356">
        <f>SUMIF('ПО КОРИСНИЦИМА'!$D$3:$D$544,A5,'ПО КОРИСНИЦИМА'!$I$3:$I$544)</f>
        <v>0</v>
      </c>
      <c r="F5" s="356">
        <f>SUM(E5,C5)</f>
        <v>0</v>
      </c>
    </row>
    <row r="6" spans="1:6" hidden="1">
      <c r="A6" s="93" t="s">
        <v>3863</v>
      </c>
      <c r="B6" s="96" t="s">
        <v>3864</v>
      </c>
      <c r="C6" s="356">
        <f>SUMIF('ПО КОРИСНИЦИМА'!$D$3:$D$544,A6,'ПО КОРИСНИЦИМА'!$H$3:$H$544)</f>
        <v>0</v>
      </c>
      <c r="D6" s="355" t="e">
        <f t="shared" si="0"/>
        <v>#DIV/0!</v>
      </c>
      <c r="E6" s="356">
        <f>SUMIF('ПО КОРИСНИЦИМА'!$D$3:$D$544,A6,'ПО КОРИСНИЦИМА'!$I$3:$I$544)</f>
        <v>0</v>
      </c>
      <c r="F6" s="356">
        <f t="shared" ref="F6:F52" si="1">SUM(E6,C6)</f>
        <v>0</v>
      </c>
    </row>
    <row r="7" spans="1:6" hidden="1">
      <c r="A7" s="93" t="s">
        <v>3865</v>
      </c>
      <c r="B7" s="96" t="s">
        <v>3866</v>
      </c>
      <c r="C7" s="356">
        <f>SUMIF('ПО КОРИСНИЦИМА'!$D$3:$D$544,A7,'ПО КОРИСНИЦИМА'!$H$3:$H$544)</f>
        <v>0</v>
      </c>
      <c r="D7" s="355" t="e">
        <f t="shared" si="0"/>
        <v>#DIV/0!</v>
      </c>
      <c r="E7" s="356">
        <f>SUMIF('ПО КОРИСНИЦИМА'!$D$3:$D$544,A7,'ПО КОРИСНИЦИМА'!$I$3:$I$544)</f>
        <v>0</v>
      </c>
      <c r="F7" s="356">
        <f t="shared" si="1"/>
        <v>0</v>
      </c>
    </row>
    <row r="8" spans="1:6">
      <c r="A8" s="93" t="s">
        <v>3867</v>
      </c>
      <c r="B8" s="96" t="s">
        <v>3868</v>
      </c>
      <c r="C8" s="356">
        <f>SUMIF('ПО КОРИСНИЦИМА'!$D$3:$D$544,A8,'ПО КОРИСНИЦИМА'!$H$3:$H$544)</f>
        <v>32600000</v>
      </c>
      <c r="D8" s="1101">
        <f t="shared" si="0"/>
        <v>25.540175644171782</v>
      </c>
      <c r="E8" s="356">
        <f>SUMIF('ПО КОРИСНИЦИМА'!$D$3:$D$544,A8,'ПО КОРИСНИЦИМА'!$I$3:$I$544)</f>
        <v>8326097.2599999998</v>
      </c>
      <c r="F8" s="356">
        <f>C8-E8</f>
        <v>24273902.740000002</v>
      </c>
    </row>
    <row r="9" spans="1:6" hidden="1">
      <c r="A9" s="93" t="s">
        <v>3869</v>
      </c>
      <c r="B9" s="96" t="s">
        <v>3870</v>
      </c>
      <c r="C9" s="356">
        <f>SUMIF('ПО КОРИСНИЦИМА'!$D$3:$D$544,A9,'ПО КОРИСНИЦИМА'!$H$3:$H$544)</f>
        <v>0</v>
      </c>
      <c r="D9" s="1101" t="e">
        <f t="shared" si="0"/>
        <v>#DIV/0!</v>
      </c>
      <c r="E9" s="356">
        <f>SUMIF('ПО КОРИСНИЦИМА'!$D$3:$D$544,A9,'ПО КОРИСНИЦИМА'!$I$3:$I$544)</f>
        <v>0</v>
      </c>
      <c r="F9" s="356">
        <f t="shared" ref="F9:F13" si="2">C9-E9</f>
        <v>0</v>
      </c>
    </row>
    <row r="10" spans="1:6" hidden="1">
      <c r="A10" s="93" t="s">
        <v>3871</v>
      </c>
      <c r="B10" s="96" t="s">
        <v>3872</v>
      </c>
      <c r="C10" s="356">
        <f>SUMIF('ПО КОРИСНИЦИМА'!$D$3:$D$544,A10,'ПО КОРИСНИЦИМА'!$H$3:$H$544)</f>
        <v>0</v>
      </c>
      <c r="D10" s="1101" t="e">
        <f t="shared" si="0"/>
        <v>#DIV/0!</v>
      </c>
      <c r="E10" s="356">
        <f>SUMIF('ПО КОРИСНИЦИМА'!$D$3:$D$544,A10,'ПО КОРИСНИЦИМА'!$I$3:$I$544)</f>
        <v>0</v>
      </c>
      <c r="F10" s="356">
        <f t="shared" si="2"/>
        <v>0</v>
      </c>
    </row>
    <row r="11" spans="1:6" ht="22.5">
      <c r="A11" s="93" t="s">
        <v>3873</v>
      </c>
      <c r="B11" s="96" t="s">
        <v>3874</v>
      </c>
      <c r="C11" s="356">
        <f>SUMIF('ПО КОРИСНИЦИМА'!$D$3:$D$544,A11,'ПО КОРИСНИЦИМА'!$H$3:$H$544)</f>
        <v>19750000</v>
      </c>
      <c r="D11" s="1101">
        <f t="shared" si="0"/>
        <v>58.53400683544303</v>
      </c>
      <c r="E11" s="356">
        <f>SUMIF('ПО КОРИСНИЦИМА'!$D$3:$D$544,A11,'ПО КОРИСНИЦИМА'!$I$3:$I$544)</f>
        <v>11560466.35</v>
      </c>
      <c r="F11" s="356">
        <f t="shared" si="2"/>
        <v>8189533.6500000004</v>
      </c>
    </row>
    <row r="12" spans="1:6" hidden="1">
      <c r="A12" s="93" t="s">
        <v>3875</v>
      </c>
      <c r="B12" s="96" t="s">
        <v>3876</v>
      </c>
      <c r="C12" s="356">
        <f>SUMIF('ПО КОРИСНИЦИМА'!$D$3:$D$544,A12,'ПО КОРИСНИЦИМА'!$H$3:$H$544)</f>
        <v>0</v>
      </c>
      <c r="D12" s="1101" t="e">
        <f t="shared" si="0"/>
        <v>#DIV/0!</v>
      </c>
      <c r="E12" s="356">
        <f>SUMIF('ПО КОРИСНИЦИМА'!$D$3:$D$544,A12,'ПО КОРИСНИЦИМА'!$I$3:$I$544)</f>
        <v>0</v>
      </c>
      <c r="F12" s="356">
        <f t="shared" si="2"/>
        <v>0</v>
      </c>
    </row>
    <row r="13" spans="1:6">
      <c r="A13" s="93" t="s">
        <v>3877</v>
      </c>
      <c r="B13" s="96" t="s">
        <v>105</v>
      </c>
      <c r="C13" s="356">
        <f>SUMIF('ПО КОРИСНИЦИМА'!$D$3:$D$544,A13,'ПО КОРИСНИЦИМА'!$H$3:$H$544)</f>
        <v>8300000</v>
      </c>
      <c r="D13" s="1101">
        <f t="shared" si="0"/>
        <v>68.868865542168678</v>
      </c>
      <c r="E13" s="356">
        <f>SUMIF('ПО КОРИСНИЦИМА'!$D$3:$D$544,A13,'ПО КОРИСНИЦИМА'!$I$3:$I$544)</f>
        <v>5716115.8399999999</v>
      </c>
      <c r="F13" s="356">
        <f t="shared" si="2"/>
        <v>2583884.16</v>
      </c>
    </row>
    <row r="14" spans="1:6">
      <c r="A14" s="97" t="s">
        <v>3878</v>
      </c>
      <c r="B14" s="98" t="s">
        <v>106</v>
      </c>
      <c r="C14" s="354">
        <f>SUM(C15:C30)</f>
        <v>179767641</v>
      </c>
      <c r="D14" s="1103">
        <f t="shared" si="0"/>
        <v>53.113966328344929</v>
      </c>
      <c r="E14" s="354">
        <f>SUM(E15:E30)</f>
        <v>95481724.309999987</v>
      </c>
      <c r="F14" s="354">
        <f>F16+F23+F25+F28</f>
        <v>84285916.690000013</v>
      </c>
    </row>
    <row r="15" spans="1:6" ht="23.25" hidden="1">
      <c r="A15" s="99" t="s">
        <v>3879</v>
      </c>
      <c r="B15" s="100" t="s">
        <v>3880</v>
      </c>
      <c r="C15" s="356">
        <f>SUMIF('ПО КОРИСНИЦИМА'!$D$3:$D$544,A15,'ПО КОРИСНИЦИМА'!$H$3:$H$544)</f>
        <v>0</v>
      </c>
      <c r="D15" s="1101" t="e">
        <f t="shared" si="0"/>
        <v>#DIV/0!</v>
      </c>
      <c r="E15" s="356">
        <f>SUMIF('ПО КОРИСНИЦИМА'!$D$3:$D$544,A15,'ПО КОРИСНИЦИМА'!$I$3:$I$544)</f>
        <v>0</v>
      </c>
      <c r="F15" s="356">
        <f t="shared" si="1"/>
        <v>0</v>
      </c>
    </row>
    <row r="16" spans="1:6">
      <c r="A16" s="101" t="s">
        <v>3881</v>
      </c>
      <c r="B16" s="100" t="s">
        <v>108</v>
      </c>
      <c r="C16" s="356">
        <f>SUMIF('ПО КОРИСНИЦИМА'!$D$3:$D$544,A16,'ПО КОРИСНИЦИМА'!$H$3:$H$544)</f>
        <v>15570000</v>
      </c>
      <c r="D16" s="1101">
        <f t="shared" si="0"/>
        <v>57.065007385998726</v>
      </c>
      <c r="E16" s="356">
        <f>SUMIF('ПО КОРИСНИЦИМА'!$D$3:$D$544,A16,'ПО КОРИСНИЦИМА'!$I$3:$I$544)</f>
        <v>8885021.6500000004</v>
      </c>
      <c r="F16" s="356">
        <f>C16-E16</f>
        <v>6684978.3499999996</v>
      </c>
    </row>
    <row r="17" spans="1:6" hidden="1">
      <c r="A17" s="101" t="s">
        <v>3882</v>
      </c>
      <c r="B17" s="100" t="s">
        <v>109</v>
      </c>
      <c r="C17" s="356">
        <f>SUMIF('ПО КОРИСНИЦИМА'!$D$3:$D$544,A17,'ПО КОРИСНИЦИМА'!$H$3:$H$544)</f>
        <v>0</v>
      </c>
      <c r="D17" s="1101" t="e">
        <f t="shared" si="0"/>
        <v>#DIV/0!</v>
      </c>
      <c r="E17" s="356">
        <f>SUMIF('ПО КОРИСНИЦИМА'!$D$3:$D$544,A17,'ПО КОРИСНИЦИМА'!$I$3:$I$544)</f>
        <v>0</v>
      </c>
      <c r="F17" s="356">
        <f t="shared" ref="F17:F28" si="3">C17-E17</f>
        <v>0</v>
      </c>
    </row>
    <row r="18" spans="1:6" hidden="1">
      <c r="A18" s="101" t="s">
        <v>3883</v>
      </c>
      <c r="B18" s="100" t="s">
        <v>110</v>
      </c>
      <c r="C18" s="356">
        <f>SUMIF('ПО КОРИСНИЦИМА'!$D$3:$D$544,A18,'ПО КОРИСНИЦИМА'!$H$3:$H$544)</f>
        <v>0</v>
      </c>
      <c r="D18" s="1101" t="e">
        <f t="shared" si="0"/>
        <v>#DIV/0!</v>
      </c>
      <c r="E18" s="356">
        <f>SUMIF('ПО КОРИСНИЦИМА'!$D$3:$D$544,A18,'ПО КОРИСНИЦИМА'!$I$3:$I$544)</f>
        <v>0</v>
      </c>
      <c r="F18" s="356">
        <f t="shared" si="3"/>
        <v>0</v>
      </c>
    </row>
    <row r="19" spans="1:6" hidden="1">
      <c r="A19" s="99" t="s">
        <v>3884</v>
      </c>
      <c r="B19" s="100" t="s">
        <v>3885</v>
      </c>
      <c r="C19" s="356">
        <f>SUMIF('ПО КОРИСНИЦИМА'!$D$3:$D$544,A19,'ПО КОРИСНИЦИМА'!$H$3:$H$544)</f>
        <v>0</v>
      </c>
      <c r="D19" s="1101" t="e">
        <f t="shared" si="0"/>
        <v>#DIV/0!</v>
      </c>
      <c r="E19" s="356">
        <f>SUMIF('ПО КОРИСНИЦИМА'!$D$3:$D$544,A19,'ПО КОРИСНИЦИМА'!$I$3:$I$544)</f>
        <v>0</v>
      </c>
      <c r="F19" s="356">
        <f t="shared" si="3"/>
        <v>0</v>
      </c>
    </row>
    <row r="20" spans="1:6" hidden="1">
      <c r="A20" s="101" t="s">
        <v>3886</v>
      </c>
      <c r="B20" s="100" t="s">
        <v>112</v>
      </c>
      <c r="C20" s="356">
        <f>SUMIF('ПО КОРИСНИЦИМА'!$D$3:$D$544,A20,'ПО КОРИСНИЦИМА'!$H$3:$H$544)</f>
        <v>0</v>
      </c>
      <c r="D20" s="1101" t="e">
        <f t="shared" si="0"/>
        <v>#DIV/0!</v>
      </c>
      <c r="E20" s="356">
        <f>SUMIF('ПО КОРИСНИЦИМА'!$D$3:$D$544,A20,'ПО КОРИСНИЦИМА'!$I$3:$I$544)</f>
        <v>0</v>
      </c>
      <c r="F20" s="356">
        <f t="shared" si="3"/>
        <v>0</v>
      </c>
    </row>
    <row r="21" spans="1:6" hidden="1">
      <c r="A21" s="101" t="s">
        <v>3887</v>
      </c>
      <c r="B21" s="100" t="s">
        <v>113</v>
      </c>
      <c r="C21" s="356">
        <f>SUMIF('ПО КОРИСНИЦИМА'!$D$3:$D$544,A21,'ПО КОРИСНИЦИМА'!$H$3:$H$544)</f>
        <v>0</v>
      </c>
      <c r="D21" s="1101" t="e">
        <f t="shared" si="0"/>
        <v>#DIV/0!</v>
      </c>
      <c r="E21" s="356">
        <f>SUMIF('ПО КОРИСНИЦИМА'!$D$3:$D$544,A21,'ПО КОРИСНИЦИМА'!$I$3:$I$544)</f>
        <v>0</v>
      </c>
      <c r="F21" s="356">
        <f t="shared" si="3"/>
        <v>0</v>
      </c>
    </row>
    <row r="22" spans="1:6" hidden="1">
      <c r="A22" s="99" t="s">
        <v>3888</v>
      </c>
      <c r="B22" s="100" t="s">
        <v>3889</v>
      </c>
      <c r="C22" s="356">
        <f>SUMIF('ПО КОРИСНИЦИМА'!$D$3:$D$544,A22,'ПО КОРИСНИЦИМА'!$H$3:$H$544)</f>
        <v>0</v>
      </c>
      <c r="D22" s="1101" t="e">
        <f t="shared" si="0"/>
        <v>#DIV/0!</v>
      </c>
      <c r="E22" s="356">
        <f>SUMIF('ПО КОРИСНИЦИМА'!$D$3:$D$544,A22,'ПО КОРИСНИЦИМА'!$I$3:$I$544)</f>
        <v>0</v>
      </c>
      <c r="F22" s="356">
        <f t="shared" si="3"/>
        <v>0</v>
      </c>
    </row>
    <row r="23" spans="1:6">
      <c r="A23" s="101" t="s">
        <v>3890</v>
      </c>
      <c r="B23" s="100" t="s">
        <v>115</v>
      </c>
      <c r="C23" s="356">
        <f>SUMIF('ПО КОРИСНИЦИМА'!$D$3:$D$544,A23,'ПО КОРИСНИЦИМА'!$H$3:$H$544)</f>
        <v>162897641</v>
      </c>
      <c r="D23" s="1101">
        <f t="shared" si="0"/>
        <v>53.132569709833909</v>
      </c>
      <c r="E23" s="356">
        <f>SUMIF('ПО КОРИСНИЦИМА'!$D$3:$D$544,A23,'ПО КОРИСНИЦИМА'!$I$3:$I$544)</f>
        <v>86551702.659999982</v>
      </c>
      <c r="F23" s="356">
        <f t="shared" si="3"/>
        <v>76345938.340000018</v>
      </c>
    </row>
    <row r="24" spans="1:6" hidden="1">
      <c r="A24" s="101" t="s">
        <v>3891</v>
      </c>
      <c r="B24" s="100" t="s">
        <v>116</v>
      </c>
      <c r="C24" s="356">
        <f>SUMIF('ПО КОРИСНИЦИМА'!$D$3:$D$544,A24,'ПО КОРИСНИЦИМА'!$H$3:$H$544)</f>
        <v>0</v>
      </c>
      <c r="D24" s="1101" t="e">
        <f t="shared" si="0"/>
        <v>#DIV/0!</v>
      </c>
      <c r="E24" s="356">
        <f>SUMIF('ПО КОРИСНИЦИМА'!$D$3:$D$544,A24,'ПО КОРИСНИЦИМА'!$I$3:$I$544)</f>
        <v>0</v>
      </c>
      <c r="F24" s="356">
        <f t="shared" si="3"/>
        <v>0</v>
      </c>
    </row>
    <row r="25" spans="1:6">
      <c r="A25" s="101" t="s">
        <v>3892</v>
      </c>
      <c r="B25" s="100" t="s">
        <v>117</v>
      </c>
      <c r="C25" s="356">
        <f>SUMIF('ПО КОРИСНИЦИМА'!$D$3:$D$544,A25,'ПО КОРИСНИЦИМА'!$H$3:$H$544)</f>
        <v>0</v>
      </c>
      <c r="D25" s="1101">
        <v>0</v>
      </c>
      <c r="E25" s="356">
        <f>SUMIF('ПО КОРИСНИЦИМА'!$D$3:$D$544,A25,'ПО КОРИСНИЦИМА'!$I$3:$I$544)</f>
        <v>0</v>
      </c>
      <c r="F25" s="356">
        <f t="shared" si="3"/>
        <v>0</v>
      </c>
    </row>
    <row r="26" spans="1:6" hidden="1">
      <c r="A26" s="99" t="s">
        <v>3893</v>
      </c>
      <c r="B26" s="100" t="s">
        <v>3894</v>
      </c>
      <c r="C26" s="356">
        <f>SUMIF('ПО КОРИСНИЦИМА'!$D$3:$D$544,A26,'ПО КОРИСНИЦИМА'!$H$3:$H$544)</f>
        <v>0</v>
      </c>
      <c r="D26" s="1101" t="e">
        <f t="shared" si="0"/>
        <v>#DIV/0!</v>
      </c>
      <c r="E26" s="356">
        <f>SUMIF('ПО КОРИСНИЦИМА'!$D$3:$D$544,A26,'ПО КОРИСНИЦИМА'!$I$3:$I$544)</f>
        <v>0</v>
      </c>
      <c r="F26" s="356">
        <f t="shared" si="3"/>
        <v>0</v>
      </c>
    </row>
    <row r="27" spans="1:6" hidden="1">
      <c r="A27" s="99" t="s">
        <v>3895</v>
      </c>
      <c r="B27" s="100" t="s">
        <v>3896</v>
      </c>
      <c r="C27" s="356">
        <f>SUMIF('ПО КОРИСНИЦИМА'!$D$3:$D$544,A27,'ПО КОРИСНИЦИМА'!$H$3:$H$544)</f>
        <v>0</v>
      </c>
      <c r="D27" s="1101" t="e">
        <f t="shared" si="0"/>
        <v>#DIV/0!</v>
      </c>
      <c r="E27" s="356">
        <f>SUMIF('ПО КОРИСНИЦИМА'!$D$3:$D$544,A27,'ПО КОРИСНИЦИМА'!$I$3:$I$544)</f>
        <v>0</v>
      </c>
      <c r="F27" s="356">
        <f t="shared" si="3"/>
        <v>0</v>
      </c>
    </row>
    <row r="28" spans="1:6">
      <c r="A28" s="99" t="s">
        <v>3897</v>
      </c>
      <c r="B28" s="100" t="s">
        <v>3898</v>
      </c>
      <c r="C28" s="356">
        <f>SUMIF('ПО КОРИСНИЦИМА'!$D$3:$D$544,A28,'ПО КОРИСНИЦИМА'!$H$3:$H$544)</f>
        <v>1300000</v>
      </c>
      <c r="D28" s="1101">
        <f t="shared" si="0"/>
        <v>3.4615384615384617</v>
      </c>
      <c r="E28" s="356">
        <f>SUMIF('ПО КОРИСНИЦИМА'!$D$3:$D$544,A28,'ПО КОРИСНИЦИМА'!$I$3:$I$544)</f>
        <v>45000</v>
      </c>
      <c r="F28" s="356">
        <f t="shared" si="3"/>
        <v>1255000</v>
      </c>
    </row>
    <row r="29" spans="1:6" hidden="1">
      <c r="A29" s="99" t="s">
        <v>3899</v>
      </c>
      <c r="B29" s="100" t="s">
        <v>3900</v>
      </c>
      <c r="C29" s="356">
        <f>SUMIF('ПО КОРИСНИЦИМА'!$D$3:$D$544,A29,'ПО КОРИСНИЦИМА'!$H$3:$H$544)</f>
        <v>0</v>
      </c>
      <c r="D29" s="1101" t="e">
        <f t="shared" si="0"/>
        <v>#DIV/0!</v>
      </c>
      <c r="E29" s="356">
        <f>SUMIF('ПО КОРИСНИЦИМА'!$D$3:$D$544,A29,'ПО КОРИСНИЦИМА'!$I$3:$I$544)</f>
        <v>0</v>
      </c>
      <c r="F29" s="356">
        <f t="shared" si="1"/>
        <v>0</v>
      </c>
    </row>
    <row r="30" spans="1:6" hidden="1">
      <c r="A30" s="99" t="s">
        <v>3901</v>
      </c>
      <c r="B30" s="100" t="s">
        <v>122</v>
      </c>
      <c r="C30" s="356">
        <f>SUMIF('ПО КОРИСНИЦИМА'!$D$3:$D$544,A30,'ПО КОРИСНИЦИМА'!$H$3:$H$544)</f>
        <v>0</v>
      </c>
      <c r="D30" s="1101" t="e">
        <f t="shared" si="0"/>
        <v>#DIV/0!</v>
      </c>
      <c r="E30" s="356">
        <f>SUMIF('ПО КОРИСНИЦИМА'!$D$3:$D$544,A30,'ПО КОРИСНИЦИМА'!$I$3:$I$544)</f>
        <v>0</v>
      </c>
      <c r="F30" s="356">
        <f t="shared" si="1"/>
        <v>0</v>
      </c>
    </row>
    <row r="31" spans="1:6">
      <c r="A31" s="97" t="s">
        <v>3902</v>
      </c>
      <c r="B31" s="102" t="s">
        <v>129</v>
      </c>
      <c r="C31" s="354">
        <f>SUM(C32:C34)</f>
        <v>2700000</v>
      </c>
      <c r="D31" s="1103">
        <f t="shared" si="0"/>
        <v>56.411644444444441</v>
      </c>
      <c r="E31" s="354">
        <f>SUM(E32:E34)</f>
        <v>1523114.4</v>
      </c>
      <c r="F31" s="354">
        <f>F34</f>
        <v>1176885.6000000001</v>
      </c>
    </row>
    <row r="32" spans="1:6" hidden="1">
      <c r="A32" s="99" t="s">
        <v>3903</v>
      </c>
      <c r="B32" s="100" t="s">
        <v>3904</v>
      </c>
      <c r="C32" s="356">
        <f>SUMIF('ПО КОРИСНИЦИМА'!$D$3:$D$544,A32,'ПО КОРИСНИЦИМА'!$H$3:$H$544)</f>
        <v>0</v>
      </c>
      <c r="D32" s="1101" t="e">
        <f t="shared" si="0"/>
        <v>#DIV/0!</v>
      </c>
      <c r="E32" s="356">
        <f>SUMIF('ПО КОРИСНИЦИМА'!$D$3:$D$544,A32,'ПО КОРИСНИЦИМА'!$I$3:$I$544)</f>
        <v>0</v>
      </c>
      <c r="F32" s="356">
        <f t="shared" si="1"/>
        <v>0</v>
      </c>
    </row>
    <row r="33" spans="1:6" hidden="1">
      <c r="A33" s="99" t="s">
        <v>3905</v>
      </c>
      <c r="B33" s="100" t="s">
        <v>3906</v>
      </c>
      <c r="C33" s="356">
        <f>SUMIF('ПО КОРИСНИЦИМА'!$D$3:$D$544,A33,'ПО КОРИСНИЦИМА'!$H$3:$H$544)</f>
        <v>0</v>
      </c>
      <c r="D33" s="1101" t="e">
        <f t="shared" si="0"/>
        <v>#DIV/0!</v>
      </c>
      <c r="E33" s="356">
        <f>SUMIF('ПО КОРИСНИЦИМА'!$D$3:$D$544,A33,'ПО КОРИСНИЦИМА'!$I$3:$I$544)</f>
        <v>0</v>
      </c>
      <c r="F33" s="356">
        <f t="shared" si="1"/>
        <v>0</v>
      </c>
    </row>
    <row r="34" spans="1:6">
      <c r="A34" s="99" t="s">
        <v>4384</v>
      </c>
      <c r="B34" s="100" t="s">
        <v>132</v>
      </c>
      <c r="C34" s="356">
        <f>SUMIF('ПО КОРИСНИЦИМА'!$D$3:$D$544,A34,'ПО КОРИСНИЦИМА'!$H$3:$H$544)</f>
        <v>2700000</v>
      </c>
      <c r="D34" s="1101">
        <f t="shared" si="0"/>
        <v>56.411644444444441</v>
      </c>
      <c r="E34" s="356">
        <f>SUMIF('ПО КОРИСНИЦИМА'!$D$3:$D$544,A34,'ПО КОРИСНИЦИМА'!$I$3:$I$544)</f>
        <v>1523114.4</v>
      </c>
      <c r="F34" s="356">
        <f>C34-E34</f>
        <v>1176885.6000000001</v>
      </c>
    </row>
    <row r="35" spans="1:6">
      <c r="A35" s="97" t="s">
        <v>3907</v>
      </c>
      <c r="B35" s="98" t="s">
        <v>135</v>
      </c>
      <c r="C35" s="354">
        <f>C40+C45+C50</f>
        <v>145050000</v>
      </c>
      <c r="D35" s="1103">
        <f t="shared" si="0"/>
        <v>25.802364039986216</v>
      </c>
      <c r="E35" s="354">
        <f>E39+E45+E50</f>
        <v>37426329.040000007</v>
      </c>
      <c r="F35" s="354">
        <f>C35-E35</f>
        <v>107623670.95999999</v>
      </c>
    </row>
    <row r="36" spans="1:6" ht="23.25" hidden="1">
      <c r="A36" s="99" t="s">
        <v>3755</v>
      </c>
      <c r="B36" s="103" t="s">
        <v>3908</v>
      </c>
      <c r="C36" s="356">
        <f>SUMIF('ПО КОРИСНИЦИМА'!$D$3:$D$544,A36,'ПО КОРИСНИЦИМА'!$H$3:$H$544)</f>
        <v>0</v>
      </c>
      <c r="D36" s="1101" t="e">
        <f t="shared" si="0"/>
        <v>#DIV/0!</v>
      </c>
      <c r="E36" s="356">
        <f>SUMIF('ПО КОРИСНИЦИМА'!$D$3:$D$544,A36,'ПО КОРИСНИЦИМА'!$I$3:$I$544)</f>
        <v>0</v>
      </c>
      <c r="F36" s="356">
        <f t="shared" si="1"/>
        <v>0</v>
      </c>
    </row>
    <row r="37" spans="1:6" hidden="1">
      <c r="A37" s="101" t="s">
        <v>3909</v>
      </c>
      <c r="B37" s="103" t="s">
        <v>137</v>
      </c>
      <c r="C37" s="356">
        <f>SUMIF('ПО КОРИСНИЦИМА'!$D$3:$D$544,A37,'ПО КОРИСНИЦИМА'!$H$3:$H$544)</f>
        <v>0</v>
      </c>
      <c r="D37" s="1101" t="e">
        <f t="shared" si="0"/>
        <v>#DIV/0!</v>
      </c>
      <c r="E37" s="356">
        <f>SUMIF('ПО КОРИСНИЦИМА'!$D$3:$D$544,A37,'ПО КОРИСНИЦИМА'!$I$3:$I$544)</f>
        <v>0</v>
      </c>
      <c r="F37" s="356">
        <f t="shared" si="1"/>
        <v>0</v>
      </c>
    </row>
    <row r="38" spans="1:6" hidden="1">
      <c r="A38" s="101" t="s">
        <v>3910</v>
      </c>
      <c r="B38" s="103" t="s">
        <v>138</v>
      </c>
      <c r="C38" s="356">
        <f>SUMIF('ПО КОРИСНИЦИМА'!$D$3:$D$544,A38,'ПО КОРИСНИЦИМА'!$H$3:$H$544)</f>
        <v>0</v>
      </c>
      <c r="D38" s="1101" t="e">
        <f t="shared" si="0"/>
        <v>#DIV/0!</v>
      </c>
      <c r="E38" s="356">
        <f>SUMIF('ПО КОРИСНИЦИМА'!$D$3:$D$544,A38,'ПО КОРИСНИЦИМА'!$I$3:$I$544)</f>
        <v>0</v>
      </c>
      <c r="F38" s="356">
        <f t="shared" si="1"/>
        <v>0</v>
      </c>
    </row>
    <row r="39" spans="1:6">
      <c r="A39" s="1082" t="s">
        <v>3768</v>
      </c>
      <c r="B39" s="1083" t="s">
        <v>3911</v>
      </c>
      <c r="C39" s="1084">
        <f>C40</f>
        <v>28800000</v>
      </c>
      <c r="D39" s="1102">
        <f t="shared" si="0"/>
        <v>17.777440625000001</v>
      </c>
      <c r="E39" s="1084">
        <f>E40</f>
        <v>5119902.9000000004</v>
      </c>
      <c r="F39" s="1084">
        <f>C39-E39</f>
        <v>23680097.100000001</v>
      </c>
    </row>
    <row r="40" spans="1:6">
      <c r="A40" s="101" t="s">
        <v>3770</v>
      </c>
      <c r="B40" s="100" t="s">
        <v>140</v>
      </c>
      <c r="C40" s="356">
        <f>SUMIF('ПО КОРИСНИЦИМА'!$D$3:$D$544,A40,'ПО КОРИСНИЦИМА'!$H$3:$H$544)</f>
        <v>28800000</v>
      </c>
      <c r="D40" s="1101">
        <f t="shared" si="0"/>
        <v>17.777440625000001</v>
      </c>
      <c r="E40" s="356">
        <f>SUMIF('ПО КОРИСНИЦИМА'!$D$3:$D$544,A40,'ПО КОРИСНИЦИМА'!$I$3:$I$544)</f>
        <v>5119902.9000000004</v>
      </c>
      <c r="F40" s="356">
        <f>C40-E40</f>
        <v>23680097.100000001</v>
      </c>
    </row>
    <row r="41" spans="1:6" hidden="1">
      <c r="A41" s="101" t="s">
        <v>3912</v>
      </c>
      <c r="B41" s="100" t="s">
        <v>141</v>
      </c>
      <c r="C41" s="356">
        <f>SUMIF('ПО КОРИСНИЦИМА'!$D$3:$D$544,A41,'ПО КОРИСНИЦИМА'!$H$3:$H$544)</f>
        <v>0</v>
      </c>
      <c r="D41" s="1101" t="e">
        <f t="shared" si="0"/>
        <v>#DIV/0!</v>
      </c>
      <c r="E41" s="356">
        <f>SUMIF('ПО КОРИСНИЦИМА'!$D$3:$D$544,A41,'ПО КОРИСНИЦИМА'!$I$3:$I$544)</f>
        <v>0</v>
      </c>
      <c r="F41" s="356">
        <f t="shared" si="1"/>
        <v>0</v>
      </c>
    </row>
    <row r="42" spans="1:6" hidden="1">
      <c r="A42" s="101" t="s">
        <v>3913</v>
      </c>
      <c r="B42" s="100" t="s">
        <v>142</v>
      </c>
      <c r="C42" s="356">
        <f>SUMIF('ПО КОРИСНИЦИМА'!$D$3:$D$544,A42,'ПО КОРИСНИЦИМА'!$H$3:$H$544)</f>
        <v>0</v>
      </c>
      <c r="D42" s="1101" t="e">
        <f t="shared" si="0"/>
        <v>#DIV/0!</v>
      </c>
      <c r="E42" s="356">
        <f>SUMIF('ПО КОРИСНИЦИМА'!$D$3:$D$544,A42,'ПО КОРИСНИЦИМА'!$I$3:$I$544)</f>
        <v>0</v>
      </c>
      <c r="F42" s="356">
        <f t="shared" si="1"/>
        <v>0</v>
      </c>
    </row>
    <row r="43" spans="1:6" hidden="1">
      <c r="A43" s="521" t="s">
        <v>3787</v>
      </c>
      <c r="B43" s="519" t="s">
        <v>4386</v>
      </c>
      <c r="C43" s="357">
        <f>C44</f>
        <v>0</v>
      </c>
      <c r="D43" s="1101" t="e">
        <f t="shared" si="0"/>
        <v>#DIV/0!</v>
      </c>
      <c r="E43" s="357">
        <f>E44</f>
        <v>0</v>
      </c>
      <c r="F43" s="357">
        <f>C43+E43</f>
        <v>0</v>
      </c>
    </row>
    <row r="44" spans="1:6" hidden="1">
      <c r="A44" s="101" t="s">
        <v>4385</v>
      </c>
      <c r="B44" s="100" t="s">
        <v>153</v>
      </c>
      <c r="C44" s="356">
        <f>SUMIF('ПО КОРИСНИЦИМА'!$D$3:$D$544,A44,'ПО КОРИСНИЦИМА'!$H$3:$H$544)</f>
        <v>0</v>
      </c>
      <c r="D44" s="1101" t="e">
        <f t="shared" si="0"/>
        <v>#DIV/0!</v>
      </c>
      <c r="E44" s="356">
        <f>SUMIF('ПО КОРИСНИЦИМА'!$D$3:$D$544,A44,'ПО КОРИСНИЦИМА'!$I$3:$I$544)</f>
        <v>0</v>
      </c>
      <c r="F44" s="356">
        <f>SUM(E44,C44)</f>
        <v>0</v>
      </c>
    </row>
    <row r="45" spans="1:6">
      <c r="A45" s="521" t="s">
        <v>3793</v>
      </c>
      <c r="B45" s="519" t="s">
        <v>3914</v>
      </c>
      <c r="C45" s="357">
        <f>C46+C47+C48+C49</f>
        <v>105900000</v>
      </c>
      <c r="D45" s="1103">
        <f t="shared" si="0"/>
        <v>21.463274900849861</v>
      </c>
      <c r="E45" s="357">
        <f>E46</f>
        <v>22729608.120000001</v>
      </c>
      <c r="F45" s="357">
        <f>C45-E45</f>
        <v>83170391.879999995</v>
      </c>
    </row>
    <row r="46" spans="1:6">
      <c r="A46" s="104" t="s">
        <v>3915</v>
      </c>
      <c r="B46" s="100" t="s">
        <v>155</v>
      </c>
      <c r="C46" s="356">
        <f>SUMIF('ПО КОРИСНИЦИМА'!$D$3:$D$544,A46,'ПО КОРИСНИЦИМА'!$H$3:$H$544)</f>
        <v>105900000</v>
      </c>
      <c r="D46" s="1101">
        <f t="shared" si="0"/>
        <v>21.463274900849861</v>
      </c>
      <c r="E46" s="356">
        <f>SUMIF('ПО КОРИСНИЦИМА'!$D$3:$D$544,A46,'ПО КОРИСНИЦИМА'!$I$3:$I$544)</f>
        <v>22729608.120000001</v>
      </c>
      <c r="F46" s="356">
        <f>C46-E46</f>
        <v>83170391.879999995</v>
      </c>
    </row>
    <row r="47" spans="1:6" hidden="1">
      <c r="A47" s="104" t="s">
        <v>3850</v>
      </c>
      <c r="B47" s="100" t="s">
        <v>156</v>
      </c>
      <c r="C47" s="356">
        <f>SUMIF('ПО КОРИСНИЦИМА'!$D$3:$D$544,A47,'ПО КОРИСНИЦИМА'!$H$3:$H$544)</f>
        <v>0</v>
      </c>
      <c r="D47" s="1101" t="e">
        <f t="shared" si="0"/>
        <v>#DIV/0!</v>
      </c>
      <c r="E47" s="356">
        <f>SUMIF('ПО КОРИСНИЦИМА'!$D$3:$D$544,A47,'ПО КОРИСНИЦИМА'!$I$3:$I$544)</f>
        <v>0</v>
      </c>
      <c r="F47" s="356">
        <f t="shared" si="1"/>
        <v>0</v>
      </c>
    </row>
    <row r="48" spans="1:6" hidden="1">
      <c r="A48" s="104" t="s">
        <v>3916</v>
      </c>
      <c r="B48" s="100" t="s">
        <v>157</v>
      </c>
      <c r="C48" s="356">
        <f>SUMIF('ПО КОРИСНИЦИМА'!$D$3:$D$544,A48,'ПО КОРИСНИЦИМА'!$H$3:$H$544)</f>
        <v>0</v>
      </c>
      <c r="D48" s="1101" t="e">
        <f t="shared" si="0"/>
        <v>#DIV/0!</v>
      </c>
      <c r="E48" s="356">
        <f>SUMIF('ПО КОРИСНИЦИМА'!$D$3:$D$544,A48,'ПО КОРИСНИЦИМА'!$I$3:$I$544)</f>
        <v>0</v>
      </c>
      <c r="F48" s="356">
        <f t="shared" si="1"/>
        <v>0</v>
      </c>
    </row>
    <row r="49" spans="1:6" hidden="1">
      <c r="A49" s="104" t="s">
        <v>3917</v>
      </c>
      <c r="B49" s="100" t="s">
        <v>158</v>
      </c>
      <c r="C49" s="356">
        <f>SUMIF('ПО КОРИСНИЦИМА'!$D$3:$D$544,A49,'ПО КОРИСНИЦИМА'!$H$3:$H$544)</f>
        <v>0</v>
      </c>
      <c r="D49" s="1101" t="e">
        <f t="shared" si="0"/>
        <v>#DIV/0!</v>
      </c>
      <c r="E49" s="356">
        <f>SUMIF('ПО КОРИСНИЦИМА'!$D$3:$D$544,A49,'ПО КОРИСНИЦИМА'!$I$3:$I$544)</f>
        <v>0</v>
      </c>
      <c r="F49" s="356">
        <f t="shared" si="1"/>
        <v>0</v>
      </c>
    </row>
    <row r="50" spans="1:6">
      <c r="A50" s="520" t="s">
        <v>3805</v>
      </c>
      <c r="B50" s="519" t="s">
        <v>4388</v>
      </c>
      <c r="C50" s="357">
        <f>C51</f>
        <v>10350000</v>
      </c>
      <c r="D50" s="1103">
        <f t="shared" si="0"/>
        <v>92.529642705314018</v>
      </c>
      <c r="E50" s="357">
        <f>E51</f>
        <v>9576818.0200000014</v>
      </c>
      <c r="F50" s="357">
        <f>C50-E50</f>
        <v>773181.97999999858</v>
      </c>
    </row>
    <row r="51" spans="1:6">
      <c r="A51" s="104" t="s">
        <v>4387</v>
      </c>
      <c r="B51" s="100" t="s">
        <v>164</v>
      </c>
      <c r="C51" s="356">
        <f>SUMIF('ПО КОРИСНИЦИМА'!$D$3:$D$544,A51,'ПО КОРИСНИЦИМА'!$H$3:$H$544)</f>
        <v>10350000</v>
      </c>
      <c r="D51" s="1101">
        <f t="shared" si="0"/>
        <v>92.529642705314018</v>
      </c>
      <c r="E51" s="356">
        <f>SUMIF('ПО КОРИСНИЦИМА'!$D$3:$D$544,A51,'ПО КОРИСНИЦИМА'!$I$3:$I$544)</f>
        <v>9576818.0200000014</v>
      </c>
      <c r="F51" s="356">
        <f>C51-E51</f>
        <v>773181.97999999858</v>
      </c>
    </row>
    <row r="52" spans="1:6" hidden="1">
      <c r="A52" s="104" t="s">
        <v>3918</v>
      </c>
      <c r="B52" s="100" t="s">
        <v>159</v>
      </c>
      <c r="C52" s="356">
        <f>SUMIF('ПО КОРИСНИЦИМА'!$D$3:$D$544,A52,'ПО КОРИСНИЦИМА'!$H$3:$H$544)</f>
        <v>0</v>
      </c>
      <c r="D52" s="1101" t="e">
        <f t="shared" si="0"/>
        <v>#DIV/0!</v>
      </c>
      <c r="E52" s="356">
        <f>SUMIF('ПО КОРИСНИЦИМА'!$D$3:$D$544,A52,'ПО КОРИСНИЦИМА'!$I$3:$I$544)</f>
        <v>0</v>
      </c>
      <c r="F52" s="356">
        <f t="shared" si="1"/>
        <v>0</v>
      </c>
    </row>
    <row r="53" spans="1:6" hidden="1">
      <c r="A53" s="99" t="s">
        <v>3919</v>
      </c>
      <c r="B53" s="100" t="s">
        <v>174</v>
      </c>
      <c r="C53" s="356">
        <f>SUMIF('ПО КОРИСНИЦИМА'!$D$3:$D$544,A53,'ПО КОРИСНИЦИМА'!$H$3:$H$544)</f>
        <v>0</v>
      </c>
      <c r="D53" s="1101" t="e">
        <f t="shared" si="0"/>
        <v>#DIV/0!</v>
      </c>
      <c r="E53" s="356">
        <f>SUMIF('ПО КОРИСНИЦИМА'!$D$3:$D$544,A53,'ПО КОРИСНИЦИМА'!$I$3:$I$544)</f>
        <v>0</v>
      </c>
      <c r="F53" s="356">
        <f t="shared" ref="F53:F85" si="4">SUM(E53,C53)</f>
        <v>0</v>
      </c>
    </row>
    <row r="54" spans="1:6">
      <c r="A54" s="97" t="s">
        <v>3920</v>
      </c>
      <c r="B54" s="102" t="s">
        <v>175</v>
      </c>
      <c r="C54" s="354">
        <f>SUM(C55:C60)</f>
        <v>83750000</v>
      </c>
      <c r="D54" s="1103">
        <f t="shared" si="0"/>
        <v>52.318010053731342</v>
      </c>
      <c r="E54" s="354">
        <f>SUM(E55:E60)</f>
        <v>43816333.420000002</v>
      </c>
      <c r="F54" s="354">
        <f>C54-E54</f>
        <v>39933666.579999998</v>
      </c>
    </row>
    <row r="55" spans="1:6">
      <c r="A55" s="99" t="s">
        <v>3820</v>
      </c>
      <c r="B55" s="100" t="s">
        <v>3921</v>
      </c>
      <c r="C55" s="356">
        <f>SUMIF('ПО КОРИСНИЦИМА'!$D$3:$D$544,A55,'ПО КОРИСНИЦИМА'!$H$3:$H$544)</f>
        <v>14530000</v>
      </c>
      <c r="D55" s="1101">
        <f t="shared" si="0"/>
        <v>65.280360839642114</v>
      </c>
      <c r="E55" s="356">
        <f>SUMIF('ПО КОРИСНИЦИМА'!$D$3:$D$544,A55,'ПО КОРИСНИЦИМА'!$I$3:$I$544)</f>
        <v>9485236.4299999997</v>
      </c>
      <c r="F55" s="356">
        <f>C55-E55</f>
        <v>5044763.57</v>
      </c>
    </row>
    <row r="56" spans="1:6">
      <c r="A56" s="99" t="s">
        <v>3827</v>
      </c>
      <c r="B56" s="100" t="s">
        <v>3922</v>
      </c>
      <c r="C56" s="356">
        <f>SUMIF('ПО КОРИСНИЦИМА'!$D$3:$D$544,A56,'ПО КОРИСНИЦИМА'!$H$3:$H$544)</f>
        <v>20900000</v>
      </c>
      <c r="D56" s="1101">
        <f t="shared" si="0"/>
        <v>0.64497607655502387</v>
      </c>
      <c r="E56" s="356">
        <f>SUMIF('ПО КОРИСНИЦИМА'!$D$3:$D$544,A56,'ПО КОРИСНИЦИМА'!$I$3:$I$544)</f>
        <v>134800</v>
      </c>
      <c r="F56" s="356">
        <f t="shared" ref="F56:F60" si="5">C56-E56</f>
        <v>20765200</v>
      </c>
    </row>
    <row r="57" spans="1:6" hidden="1">
      <c r="A57" s="99" t="s">
        <v>3923</v>
      </c>
      <c r="B57" s="100" t="s">
        <v>3924</v>
      </c>
      <c r="C57" s="356">
        <f>SUMIF('ПО КОРИСНИЦИМА'!$D$3:$D$544,A57,'ПО КОРИСНИЦИМА'!$H$3:$H$544)</f>
        <v>0</v>
      </c>
      <c r="D57" s="1101" t="e">
        <f t="shared" si="0"/>
        <v>#DIV/0!</v>
      </c>
      <c r="E57" s="356">
        <f>SUMIF('ПО КОРИСНИЦИМА'!$D$3:$D$544,A57,'ПО КОРИСНИЦИМА'!$I$3:$I$544)</f>
        <v>0</v>
      </c>
      <c r="F57" s="356">
        <f t="shared" si="5"/>
        <v>0</v>
      </c>
    </row>
    <row r="58" spans="1:6" hidden="1">
      <c r="A58" s="99" t="s">
        <v>3832</v>
      </c>
      <c r="B58" s="100" t="s">
        <v>3925</v>
      </c>
      <c r="C58" s="356">
        <f>SUMIF('ПО КОРИСНИЦИМА'!$D$3:$D$544,A58,'ПО КОРИСНИЦИМА'!$H$3:$H$544)</f>
        <v>0</v>
      </c>
      <c r="D58" s="1101" t="e">
        <f t="shared" si="0"/>
        <v>#DIV/0!</v>
      </c>
      <c r="E58" s="356">
        <f>SUMIF('ПО КОРИСНИЦИМА'!$D$3:$D$544,A58,'ПО КОРИСНИЦИМА'!$I$3:$I$544)</f>
        <v>0</v>
      </c>
      <c r="F58" s="356">
        <f t="shared" si="5"/>
        <v>0</v>
      </c>
    </row>
    <row r="59" spans="1:6" hidden="1">
      <c r="A59" s="99" t="s">
        <v>3926</v>
      </c>
      <c r="B59" s="100" t="s">
        <v>3927</v>
      </c>
      <c r="C59" s="356">
        <f>SUMIF('ПО КОРИСНИЦИМА'!$D$3:$D$544,A59,'ПО КОРИСНИЦИМА'!$H$3:$H$544)</f>
        <v>0</v>
      </c>
      <c r="D59" s="1101" t="e">
        <f t="shared" si="0"/>
        <v>#DIV/0!</v>
      </c>
      <c r="E59" s="356">
        <f>SUMIF('ПО КОРИСНИЦИМА'!$D$3:$D$544,A59,'ПО КОРИСНИЦИМА'!$I$3:$I$544)</f>
        <v>0</v>
      </c>
      <c r="F59" s="356">
        <f t="shared" si="5"/>
        <v>0</v>
      </c>
    </row>
    <row r="60" spans="1:6">
      <c r="A60" s="99" t="s">
        <v>3928</v>
      </c>
      <c r="B60" s="100" t="s">
        <v>181</v>
      </c>
      <c r="C60" s="356">
        <f>SUMIF('ПО КОРИСНИЦИМА'!$D$3:$D$544,A60,'ПО КОРИСНИЦИМА'!$H$3:$H$544)</f>
        <v>48320000</v>
      </c>
      <c r="D60" s="1101">
        <f t="shared" si="0"/>
        <v>70.770482181291399</v>
      </c>
      <c r="E60" s="356">
        <f>SUMIF('ПО КОРИСНИЦИМА'!$D$3:$D$544,A60,'ПО КОРИСНИЦИМА'!$I$3:$I$544)</f>
        <v>34196296.990000002</v>
      </c>
      <c r="F60" s="356">
        <f t="shared" si="5"/>
        <v>14123703.009999998</v>
      </c>
    </row>
    <row r="61" spans="1:6">
      <c r="A61" s="105" t="s">
        <v>3929</v>
      </c>
      <c r="B61" s="106" t="s">
        <v>3930</v>
      </c>
      <c r="C61" s="357">
        <f>SUM(C62:C67)</f>
        <v>82090000</v>
      </c>
      <c r="D61" s="1103">
        <f t="shared" si="0"/>
        <v>51.918962200024367</v>
      </c>
      <c r="E61" s="357">
        <f>SUM(E62:E67)</f>
        <v>42620276.07</v>
      </c>
      <c r="F61" s="357">
        <f>C61-E61</f>
        <v>39469723.93</v>
      </c>
    </row>
    <row r="62" spans="1:6" hidden="1">
      <c r="A62" s="99" t="s">
        <v>3839</v>
      </c>
      <c r="B62" s="100" t="s">
        <v>3931</v>
      </c>
      <c r="C62" s="356">
        <f>SUMIF('ПО КОРИСНИЦИМА'!$D$3:$D$544,A62,'ПО КОРИСНИЦИМА'!$H$3:$H$544)</f>
        <v>0</v>
      </c>
      <c r="D62" s="1101" t="e">
        <f t="shared" si="0"/>
        <v>#DIV/0!</v>
      </c>
      <c r="E62" s="356">
        <f>SUMIF('ПО КОРИСНИЦИМА'!$D$3:$D$544,A62,'ПО КОРИСНИЦИМА'!$I$3:$I$544)</f>
        <v>0</v>
      </c>
      <c r="F62" s="356">
        <f t="shared" si="4"/>
        <v>0</v>
      </c>
    </row>
    <row r="63" spans="1:6">
      <c r="A63" s="99" t="s">
        <v>3846</v>
      </c>
      <c r="B63" s="100" t="s">
        <v>3932</v>
      </c>
      <c r="C63" s="356">
        <f>SUMIF('ПО КОРИСНИЦИМА'!$D$3:$D$544,A63,'ПО КОРИСНИЦИМА'!$H$3:$H$544)</f>
        <v>22540000</v>
      </c>
      <c r="D63" s="1101">
        <f t="shared" si="0"/>
        <v>76.907395031055898</v>
      </c>
      <c r="E63" s="356">
        <f>SUMIF('ПО КОРИСНИЦИМА'!$D$3:$D$544,A63,'ПО КОРИСНИЦИМА'!$I$3:$I$544)</f>
        <v>17334926.84</v>
      </c>
      <c r="F63" s="356">
        <f>C63-E63</f>
        <v>5205073.16</v>
      </c>
    </row>
    <row r="64" spans="1:6">
      <c r="A64" s="99" t="s">
        <v>3933</v>
      </c>
      <c r="B64" s="100" t="s">
        <v>3934</v>
      </c>
      <c r="C64" s="356">
        <f>SUMIF('ПО КОРИСНИЦИМА'!$D$3:$D$544,A64,'ПО КОРИСНИЦИМА'!$H$3:$H$544)</f>
        <v>29700000</v>
      </c>
      <c r="D64" s="1101">
        <f t="shared" si="0"/>
        <v>40.824988686868693</v>
      </c>
      <c r="E64" s="356">
        <f>SUMIF('ПО КОРИСНИЦИМА'!$D$3:$D$544,A64,'ПО КОРИСНИЦИМА'!$I$3:$I$544)</f>
        <v>12125021.640000001</v>
      </c>
      <c r="F64" s="356">
        <f t="shared" ref="F64:F65" si="6">C64-E64</f>
        <v>17574978.359999999</v>
      </c>
    </row>
    <row r="65" spans="1:6">
      <c r="A65" s="99" t="s">
        <v>3935</v>
      </c>
      <c r="B65" s="100" t="s">
        <v>3936</v>
      </c>
      <c r="C65" s="356">
        <f>SUMIF('ПО КОРИСНИЦИМА'!$D$3:$D$544,A65,'ПО КОРИСНИЦИМА'!$H$3:$H$544)</f>
        <v>29850000</v>
      </c>
      <c r="D65" s="1101">
        <f t="shared" si="0"/>
        <v>44.088199631490788</v>
      </c>
      <c r="E65" s="356">
        <f>SUMIF('ПО КОРИСНИЦИМА'!$D$3:$D$544,A65,'ПО КОРИСНИЦИМА'!$I$3:$I$544)</f>
        <v>13160327.59</v>
      </c>
      <c r="F65" s="356">
        <f t="shared" si="6"/>
        <v>16689672.41</v>
      </c>
    </row>
    <row r="66" spans="1:6" hidden="1">
      <c r="A66" s="99" t="s">
        <v>3937</v>
      </c>
      <c r="B66" s="100" t="s">
        <v>3938</v>
      </c>
      <c r="C66" s="356">
        <f>SUMIF('ПО КОРИСНИЦИМА'!$D$3:$D$544,A66,'ПО КОРИСНИЦИМА'!$H$3:$H$544)</f>
        <v>0</v>
      </c>
      <c r="D66" s="1101" t="e">
        <f t="shared" si="0"/>
        <v>#DIV/0!</v>
      </c>
      <c r="E66" s="356">
        <f>SUMIF('ПО КОРИСНИЦИМА'!$D$3:$D$544,A66,'ПО КОРИСНИЦИМА'!$I$3:$I$544)</f>
        <v>0</v>
      </c>
      <c r="F66" s="356">
        <f t="shared" si="4"/>
        <v>0</v>
      </c>
    </row>
    <row r="67" spans="1:6" ht="18.75" hidden="1" customHeight="1">
      <c r="A67" s="99" t="s">
        <v>3939</v>
      </c>
      <c r="B67" s="100" t="s">
        <v>188</v>
      </c>
      <c r="C67" s="356">
        <f>SUMIF('ПО КОРИСНИЦИМА'!$D$3:$D$544,A67,'ПО КОРИСНИЦИМА'!$H$3:$H$544)</f>
        <v>0</v>
      </c>
      <c r="D67" s="1101" t="e">
        <f t="shared" si="0"/>
        <v>#DIV/0!</v>
      </c>
      <c r="E67" s="356">
        <f>SUMIF('ПО КОРИСНИЦИМА'!$D$3:$D$544,A67,'ПО КОРИСНИЦИМА'!$I$3:$I$544)</f>
        <v>0</v>
      </c>
      <c r="F67" s="356">
        <f t="shared" si="4"/>
        <v>0</v>
      </c>
    </row>
    <row r="68" spans="1:6">
      <c r="A68" s="107">
        <v>700</v>
      </c>
      <c r="B68" s="108" t="s">
        <v>189</v>
      </c>
      <c r="C68" s="358">
        <f>SUM(C69:C71)</f>
        <v>9000000</v>
      </c>
      <c r="D68" s="1103">
        <f t="shared" si="0"/>
        <v>90.889834555555566</v>
      </c>
      <c r="E68" s="358">
        <f>SUM(E69:E71)</f>
        <v>8180085.1100000003</v>
      </c>
      <c r="F68" s="358">
        <f>C68-E68</f>
        <v>819914.88999999966</v>
      </c>
    </row>
    <row r="69" spans="1:6">
      <c r="A69" s="99" t="s">
        <v>3940</v>
      </c>
      <c r="B69" s="100" t="s">
        <v>3941</v>
      </c>
      <c r="C69" s="356">
        <f>SUMIF('ПО КОРИСНИЦИМА'!$D$3:$D$544,A69,'ПО КОРИСНИЦИМА'!$H$3:$H$544)</f>
        <v>9000000</v>
      </c>
      <c r="D69" s="1101">
        <f t="shared" ref="D69:D86" si="7">E69/C69*100</f>
        <v>90.889834555555566</v>
      </c>
      <c r="E69" s="356">
        <f>SUMIF('ПО КОРИСНИЦИМА'!$D$3:$D$544,A69,'ПО КОРИСНИЦИМА'!$I$3:$I$544)</f>
        <v>8180085.1100000003</v>
      </c>
      <c r="F69" s="356">
        <f>C69-E69</f>
        <v>819914.88999999966</v>
      </c>
    </row>
    <row r="70" spans="1:6" hidden="1">
      <c r="A70" s="99" t="s">
        <v>3942</v>
      </c>
      <c r="B70" s="100" t="s">
        <v>3943</v>
      </c>
      <c r="C70" s="356">
        <f>SUMIF('ПО КОРИСНИЦИМА'!$D$3:$D$544,A70,'ПО КОРИСНИЦИМА'!$H$3:$H$544)</f>
        <v>0</v>
      </c>
      <c r="D70" s="1101" t="e">
        <f t="shared" si="7"/>
        <v>#DIV/0!</v>
      </c>
      <c r="E70" s="356">
        <f>SUMIF('ПО КОРИСНИЦИМА'!$D$3:$D$544,A70,'ПО КОРИСНИЦИМА'!$I$3:$I$544)</f>
        <v>0</v>
      </c>
      <c r="F70" s="356">
        <f t="shared" si="4"/>
        <v>0</v>
      </c>
    </row>
    <row r="71" spans="1:6" hidden="1">
      <c r="A71" s="99" t="s">
        <v>3944</v>
      </c>
      <c r="B71" s="100" t="s">
        <v>3945</v>
      </c>
      <c r="C71" s="356">
        <f>SUMIF('ПО КОРИСНИЦИМА'!$D$3:$D$544,A71,'ПО КОРИСНИЦИМА'!$H$3:$H$544)</f>
        <v>0</v>
      </c>
      <c r="D71" s="1101" t="e">
        <f t="shared" si="7"/>
        <v>#DIV/0!</v>
      </c>
      <c r="E71" s="356">
        <f>SUMIF('ПО КОРИСНИЦИМА'!$D$3:$D$544,A71,'ПО КОРИСНИЦИМА'!$I$3:$I$544)</f>
        <v>0</v>
      </c>
      <c r="F71" s="356">
        <f t="shared" si="4"/>
        <v>0</v>
      </c>
    </row>
    <row r="72" spans="1:6">
      <c r="A72" s="97" t="s">
        <v>3946</v>
      </c>
      <c r="B72" s="102" t="s">
        <v>207</v>
      </c>
      <c r="C72" s="354">
        <f>SUM(C73:C77)</f>
        <v>110982359</v>
      </c>
      <c r="D72" s="1103">
        <f t="shared" si="7"/>
        <v>55.552604770277057</v>
      </c>
      <c r="E72" s="354">
        <f>SUM(E73:E77)</f>
        <v>61653591.260000005</v>
      </c>
      <c r="F72" s="354">
        <f>C72-E72</f>
        <v>49328767.739999995</v>
      </c>
    </row>
    <row r="73" spans="1:6">
      <c r="A73" s="99" t="s">
        <v>3947</v>
      </c>
      <c r="B73" s="100" t="s">
        <v>3948</v>
      </c>
      <c r="C73" s="356">
        <f>SUMIF('ПО КОРИСНИЦИМА'!$D$3:$D$544,A73,'ПО КОРИСНИЦИМА'!$H$3:$H$544)</f>
        <v>78182359</v>
      </c>
      <c r="D73" s="1101">
        <f t="shared" si="7"/>
        <v>54.319666256169121</v>
      </c>
      <c r="E73" s="356">
        <f>SUMIF('ПО КОРИСНИЦИМА'!$D$3:$D$544,A73,'ПО КОРИСНИЦИМА'!$I$3:$I$544)</f>
        <v>42468396.479999997</v>
      </c>
      <c r="F73" s="356">
        <f>C73-E73</f>
        <v>35713962.520000003</v>
      </c>
    </row>
    <row r="74" spans="1:6">
      <c r="A74" s="99" t="s">
        <v>3949</v>
      </c>
      <c r="B74" s="100" t="s">
        <v>3950</v>
      </c>
      <c r="C74" s="356">
        <f>SUMIF('ПО КОРИСНИЦИМА'!$D$3:$D$544,A74,'ПО КОРИСНИЦИМА'!$H$3:$H$544)</f>
        <v>28100000</v>
      </c>
      <c r="D74" s="1101">
        <f t="shared" si="7"/>
        <v>60.209772633451962</v>
      </c>
      <c r="E74" s="356">
        <f>SUMIF('ПО КОРИСНИЦИМА'!$D$3:$D$544,A74,'ПО КОРИСНИЦИМА'!$I$3:$I$544)</f>
        <v>16918946.110000003</v>
      </c>
      <c r="F74" s="356">
        <f t="shared" ref="F74:F77" si="8">C74-E74</f>
        <v>11181053.889999997</v>
      </c>
    </row>
    <row r="75" spans="1:6">
      <c r="A75" s="99" t="s">
        <v>3951</v>
      </c>
      <c r="B75" s="100" t="s">
        <v>3952</v>
      </c>
      <c r="C75" s="356">
        <f>SUMIF('ПО КОРИСНИЦИМА'!$D$3:$D$544,A75,'ПО КОРИСНИЦИМА'!$H$3:$H$544)</f>
        <v>3000000</v>
      </c>
      <c r="D75" s="1101">
        <f t="shared" si="7"/>
        <v>60</v>
      </c>
      <c r="E75" s="356">
        <f>SUMIF('ПО КОРИСНИЦИМА'!$D$3:$D$544,A75,'ПО КОРИСНИЦИМА'!$I$3:$I$544)</f>
        <v>1800000</v>
      </c>
      <c r="F75" s="356">
        <f t="shared" si="8"/>
        <v>1200000</v>
      </c>
    </row>
    <row r="76" spans="1:6" hidden="1">
      <c r="A76" s="99" t="s">
        <v>3953</v>
      </c>
      <c r="B76" s="100" t="s">
        <v>3954</v>
      </c>
      <c r="C76" s="356">
        <f>SUMIF('ПО КОРИСНИЦИМА'!$D$3:$D$544,A76,'ПО КОРИСНИЦИМА'!$H$3:$H$544)</f>
        <v>0</v>
      </c>
      <c r="D76" s="1101" t="e">
        <f t="shared" si="7"/>
        <v>#DIV/0!</v>
      </c>
      <c r="E76" s="356">
        <f>SUMIF('ПО КОРИСНИЦИМА'!$D$3:$D$544,A76,'ПО КОРИСНИЦИМА'!$I$3:$I$544)</f>
        <v>0</v>
      </c>
      <c r="F76" s="356">
        <f t="shared" si="8"/>
        <v>0</v>
      </c>
    </row>
    <row r="77" spans="1:6">
      <c r="A77" s="99" t="s">
        <v>4320</v>
      </c>
      <c r="B77" s="100" t="s">
        <v>4321</v>
      </c>
      <c r="C77" s="356">
        <f>SUMIF('ПО КОРИСНИЦИМА'!$D$3:$D$544,A77,'ПО КОРИСНИЦИМА'!$H$3:$H$544)</f>
        <v>1700000</v>
      </c>
      <c r="D77" s="1101">
        <f t="shared" si="7"/>
        <v>27.426392352941175</v>
      </c>
      <c r="E77" s="356">
        <f>SUMIF('ПО КОРИСНИЦИМА'!$D$3:$D$544,A77,'ПО КОРИСНИЦИМА'!$I$3:$I$544)</f>
        <v>466248.67</v>
      </c>
      <c r="F77" s="356">
        <f t="shared" si="8"/>
        <v>1233751.33</v>
      </c>
    </row>
    <row r="78" spans="1:6">
      <c r="A78" s="109" t="s">
        <v>3955</v>
      </c>
      <c r="B78" s="102" t="s">
        <v>214</v>
      </c>
      <c r="C78" s="354">
        <f>SUM(C79:C85)</f>
        <v>160100000</v>
      </c>
      <c r="D78" s="1103">
        <f t="shared" si="7"/>
        <v>56.372266146158658</v>
      </c>
      <c r="E78" s="354">
        <f>SUM(E79:E85)</f>
        <v>90251998.100000009</v>
      </c>
      <c r="F78" s="354">
        <f>C78-E78</f>
        <v>69848001.899999991</v>
      </c>
    </row>
    <row r="79" spans="1:6" hidden="1">
      <c r="A79" s="99" t="s">
        <v>3956</v>
      </c>
      <c r="B79" s="100" t="s">
        <v>3957</v>
      </c>
      <c r="C79" s="356">
        <f>SUMIF('ПО КОРИСНИЦИМА'!$D$3:$D$544,A79,'ПО КОРИСНИЦИМА'!$H$3:$H$544)</f>
        <v>0</v>
      </c>
      <c r="D79" s="1101" t="e">
        <f t="shared" si="7"/>
        <v>#DIV/0!</v>
      </c>
      <c r="E79" s="356">
        <f>SUMIF('ПО КОРИСНИЦИМА'!$D$3:$D$544,A79,'ПО КОРИСНИЦИМА'!$I$3:$I$544)</f>
        <v>0</v>
      </c>
      <c r="F79" s="356">
        <f t="shared" si="4"/>
        <v>0</v>
      </c>
    </row>
    <row r="80" spans="1:6">
      <c r="A80" s="101" t="s">
        <v>3958</v>
      </c>
      <c r="B80" s="100" t="s">
        <v>216</v>
      </c>
      <c r="C80" s="356">
        <f>SUMIF('ПО КОРИСНИЦИМА'!$D$3:$D$544,A80,'ПО КОРИСНИЦИМА'!$H$3:$H$544)</f>
        <v>73400000</v>
      </c>
      <c r="D80" s="1101">
        <f t="shared" si="7"/>
        <v>62.290718637602197</v>
      </c>
      <c r="E80" s="356">
        <f>SUMIF('ПО КОРИСНИЦИМА'!$D$3:$D$544,A80,'ПО КОРИСНИЦИМА'!$I$3:$I$544)</f>
        <v>45721387.480000012</v>
      </c>
      <c r="F80" s="356">
        <f>C80-E80</f>
        <v>27678612.519999988</v>
      </c>
    </row>
    <row r="81" spans="1:6">
      <c r="A81" s="101" t="s">
        <v>3737</v>
      </c>
      <c r="B81" s="100" t="s">
        <v>217</v>
      </c>
      <c r="C81" s="356">
        <f>SUMIF('ПО КОРИСНИЦИМА'!$D$3:$D$544,A81,'ПО КОРИСНИЦИМА'!$H$3:$H$544)</f>
        <v>65200000</v>
      </c>
      <c r="D81" s="1101">
        <f t="shared" si="7"/>
        <v>49.170603343558277</v>
      </c>
      <c r="E81" s="356">
        <f>SUMIF('ПО КОРИСНИЦИМА'!$D$3:$D$544,A81,'ПО КОРИСНИЦИМА'!$I$3:$I$544)</f>
        <v>32059233.379999999</v>
      </c>
      <c r="F81" s="356">
        <f t="shared" ref="F81:F84" si="9">C81-E81</f>
        <v>33140766.620000001</v>
      </c>
    </row>
    <row r="82" spans="1:6" hidden="1">
      <c r="A82" s="99" t="s">
        <v>3959</v>
      </c>
      <c r="B82" s="100" t="s">
        <v>3960</v>
      </c>
      <c r="C82" s="356">
        <f>SUMIF('ПО КОРИСНИЦИМА'!$D$3:$D$544,A82,'ПО КОРИСНИЦИМА'!$H$3:$H$544)</f>
        <v>21500000</v>
      </c>
      <c r="D82" s="1101">
        <f t="shared" si="7"/>
        <v>58.006405767441862</v>
      </c>
      <c r="E82" s="356">
        <f>SUMIF('ПО КОРИСНИЦИМА'!$D$3:$D$544,A82,'ПО КОРИСНИЦИМА'!$I$3:$I$544)</f>
        <v>12471377.24</v>
      </c>
      <c r="F82" s="356">
        <f t="shared" si="9"/>
        <v>9028622.7599999998</v>
      </c>
    </row>
    <row r="83" spans="1:6" hidden="1">
      <c r="A83" s="101" t="s">
        <v>3961</v>
      </c>
      <c r="B83" s="100" t="s">
        <v>223</v>
      </c>
      <c r="C83" s="356">
        <f>SUMIF('ПО КОРИСНИЦИМА'!$D$3:$D$544,A83,'ПО КОРИСНИЦИМА'!$H$3:$H$544)</f>
        <v>0</v>
      </c>
      <c r="D83" s="1101" t="e">
        <f t="shared" si="7"/>
        <v>#DIV/0!</v>
      </c>
      <c r="E83" s="356">
        <f>SUMIF('ПО КОРИСНИЦИМА'!$D$3:$D$544,A83,'ПО КОРИСНИЦИМА'!$I$3:$I$544)</f>
        <v>0</v>
      </c>
      <c r="F83" s="356">
        <f t="shared" si="9"/>
        <v>0</v>
      </c>
    </row>
    <row r="84" spans="1:6" hidden="1">
      <c r="A84" s="101" t="s">
        <v>3962</v>
      </c>
      <c r="B84" s="100" t="s">
        <v>224</v>
      </c>
      <c r="C84" s="356">
        <f>SUMIF('ПО КОРИСНИЦИМА'!$D$3:$D$544,A84,'ПО КОРИСНИЦИМА'!$H$3:$H$544)</f>
        <v>0</v>
      </c>
      <c r="D84" s="1101" t="e">
        <f t="shared" si="7"/>
        <v>#DIV/0!</v>
      </c>
      <c r="E84" s="356">
        <f>SUMIF('ПО КОРИСНИЦИМА'!$D$3:$D$544,A84,'ПО КОРИСНИЦИМА'!$I$3:$I$544)</f>
        <v>0</v>
      </c>
      <c r="F84" s="356">
        <f t="shared" si="9"/>
        <v>0</v>
      </c>
    </row>
    <row r="85" spans="1:6" hidden="1">
      <c r="A85" s="101" t="s">
        <v>3963</v>
      </c>
      <c r="B85" s="100" t="s">
        <v>225</v>
      </c>
      <c r="C85" s="356">
        <f>SUMIF('ПО КОРИСНИЦИМА'!$D$3:$D$544,A85,'ПО КОРИСНИЦИМА'!$H$3:$H$544)</f>
        <v>0</v>
      </c>
      <c r="D85" s="1101" t="e">
        <f t="shared" si="7"/>
        <v>#DIV/0!</v>
      </c>
      <c r="E85" s="356">
        <f>SUMIF('ПО КОРИСНИЦИМА'!$D$3:$D$544,A85,'ПО КОРИСНИЦИМА'!$I$3:$I$544)</f>
        <v>0</v>
      </c>
      <c r="F85" s="356">
        <f t="shared" si="4"/>
        <v>0</v>
      </c>
    </row>
    <row r="86" spans="1:6" ht="26.25" customHeight="1">
      <c r="A86" s="110"/>
      <c r="B86" s="111" t="s">
        <v>3964</v>
      </c>
      <c r="C86" s="352">
        <f>C4+C14+C31+C35+C54+C61+C68+C72+C78</f>
        <v>834090000</v>
      </c>
      <c r="D86" s="1104">
        <f t="shared" si="7"/>
        <v>48.742477569566837</v>
      </c>
      <c r="E86" s="352">
        <f>E4+E14+E31+E39+E43+E45+E50+E54+E61+E68+E72+E78</f>
        <v>406556131.16000003</v>
      </c>
      <c r="F86" s="352">
        <f>F78+F72+F68+F61+F54+F50+F45+F39+F31+F14+F4</f>
        <v>427533868.84000003</v>
      </c>
    </row>
    <row r="87" spans="1:6">
      <c r="A87" s="112"/>
      <c r="B87" s="113"/>
      <c r="C87" s="114">
        <f>C86-'По основ. нам.'!C88</f>
        <v>0</v>
      </c>
      <c r="D87" s="114"/>
      <c r="E87" s="114">
        <f>E86-'По основ. нам.'!E88</f>
        <v>0</v>
      </c>
      <c r="F87" s="114"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7" right="0.7" top="0.75" bottom="0.75"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Y545"/>
  <sheetViews>
    <sheetView zoomScale="98" zoomScaleNormal="98" workbookViewId="0">
      <selection activeCell="M9" sqref="M9"/>
    </sheetView>
  </sheetViews>
  <sheetFormatPr defaultRowHeight="15"/>
  <cols>
    <col min="1" max="1" width="4.140625" style="184" customWidth="1"/>
    <col min="2" max="2" width="4.5703125" style="184" customWidth="1"/>
    <col min="3" max="3" width="10.7109375" style="186" customWidth="1"/>
    <col min="4" max="4" width="6.28515625" style="184" customWidth="1"/>
    <col min="5" max="5" width="5.140625" style="184" customWidth="1"/>
    <col min="6" max="6" width="7.140625" style="184" customWidth="1"/>
    <col min="7" max="7" width="49.85546875" style="189" customWidth="1"/>
    <col min="8" max="8" width="14" style="249" customWidth="1"/>
    <col min="9" max="9" width="16.140625" style="813" customWidth="1"/>
    <col min="10" max="10" width="15.5703125" style="813" customWidth="1"/>
    <col min="11" max="11" width="9.28515625" style="536" customWidth="1"/>
    <col min="12" max="12" width="9.140625" style="443"/>
    <col min="13" max="13" width="18.5703125" style="536" customWidth="1"/>
    <col min="14" max="14" width="14.140625" style="536" bestFit="1" customWidth="1"/>
    <col min="15" max="15" width="9.140625" style="191" customWidth="1"/>
    <col min="16" max="25" width="9.140625" style="191"/>
    <col min="26" max="16384" width="9.140625" style="85"/>
  </cols>
  <sheetData>
    <row r="1" spans="1:13" ht="58.5" customHeight="1">
      <c r="A1" s="359" t="s">
        <v>4010</v>
      </c>
      <c r="B1" s="360" t="s">
        <v>4011</v>
      </c>
      <c r="C1" s="361" t="s">
        <v>4014</v>
      </c>
      <c r="D1" s="362" t="s">
        <v>4012</v>
      </c>
      <c r="E1" s="362" t="s">
        <v>4013</v>
      </c>
      <c r="F1" s="360" t="s">
        <v>4015</v>
      </c>
      <c r="G1" s="363" t="s">
        <v>266</v>
      </c>
      <c r="H1" s="364" t="s">
        <v>4694</v>
      </c>
      <c r="I1" s="811" t="s">
        <v>4727</v>
      </c>
      <c r="J1" s="910" t="s">
        <v>4696</v>
      </c>
      <c r="K1" s="963" t="s">
        <v>4697</v>
      </c>
      <c r="M1" s="736"/>
    </row>
    <row r="2" spans="1:13" ht="18.75" customHeight="1" thickBot="1">
      <c r="A2" s="365">
        <v>1</v>
      </c>
      <c r="B2" s="666">
        <v>2</v>
      </c>
      <c r="C2" s="667" t="s">
        <v>4018</v>
      </c>
      <c r="D2" s="668">
        <v>4</v>
      </c>
      <c r="E2" s="668">
        <v>5</v>
      </c>
      <c r="F2" s="666">
        <v>6</v>
      </c>
      <c r="G2" s="668">
        <v>7</v>
      </c>
      <c r="H2" s="669">
        <v>8</v>
      </c>
      <c r="I2" s="669">
        <v>9</v>
      </c>
      <c r="J2" s="911">
        <v>10</v>
      </c>
      <c r="K2" s="949">
        <v>11</v>
      </c>
      <c r="M2" s="736"/>
    </row>
    <row r="3" spans="1:13" ht="15.75" thickBot="1">
      <c r="A3" s="276">
        <v>1</v>
      </c>
      <c r="B3" s="276"/>
      <c r="C3" s="277"/>
      <c r="D3" s="278"/>
      <c r="E3" s="278"/>
      <c r="F3" s="278"/>
      <c r="G3" s="279" t="s">
        <v>4249</v>
      </c>
      <c r="H3" s="280"/>
      <c r="I3" s="812"/>
      <c r="J3" s="1239"/>
      <c r="K3" s="1240"/>
      <c r="M3" s="736"/>
    </row>
    <row r="4" spans="1:13" ht="28.5">
      <c r="A4" s="281"/>
      <c r="B4" s="187"/>
      <c r="C4" s="286" t="s">
        <v>4328</v>
      </c>
      <c r="D4" s="190"/>
      <c r="E4" s="649"/>
      <c r="F4" s="296"/>
      <c r="G4" s="196" t="s">
        <v>4327</v>
      </c>
      <c r="H4" s="292"/>
      <c r="I4" s="339"/>
      <c r="J4" s="340"/>
      <c r="K4" s="943"/>
      <c r="M4" s="736"/>
    </row>
    <row r="5" spans="1:13">
      <c r="A5" s="648"/>
      <c r="B5" s="187"/>
      <c r="C5" s="286" t="s">
        <v>4329</v>
      </c>
      <c r="D5" s="190"/>
      <c r="E5" s="649"/>
      <c r="F5" s="296"/>
      <c r="G5" s="196" t="s">
        <v>4330</v>
      </c>
      <c r="H5" s="292"/>
      <c r="I5" s="339"/>
      <c r="J5" s="340"/>
      <c r="K5" s="943"/>
      <c r="M5" s="736"/>
    </row>
    <row r="6" spans="1:13" ht="30.75" thickBot="1">
      <c r="A6" s="648"/>
      <c r="B6" s="187"/>
      <c r="C6" s="289" t="s">
        <v>4329</v>
      </c>
      <c r="D6" s="187">
        <v>111</v>
      </c>
      <c r="E6" s="288"/>
      <c r="F6" s="297"/>
      <c r="G6" s="192" t="s">
        <v>107</v>
      </c>
      <c r="H6" s="292"/>
      <c r="I6" s="339"/>
      <c r="J6" s="340"/>
      <c r="K6" s="943"/>
      <c r="M6" s="736"/>
    </row>
    <row r="7" spans="1:13">
      <c r="A7" s="648"/>
      <c r="B7" s="187"/>
      <c r="C7" s="289" t="s">
        <v>4329</v>
      </c>
      <c r="D7" s="187">
        <v>111</v>
      </c>
      <c r="E7" s="649">
        <v>1</v>
      </c>
      <c r="F7" s="950">
        <v>421</v>
      </c>
      <c r="G7" s="403" t="s">
        <v>3771</v>
      </c>
      <c r="H7" s="951">
        <v>50000</v>
      </c>
      <c r="I7" s="935">
        <v>25386.560000000001</v>
      </c>
      <c r="J7" s="864">
        <f>H7-I7</f>
        <v>24613.439999999999</v>
      </c>
      <c r="K7" s="946">
        <v>50.77</v>
      </c>
      <c r="M7" s="736"/>
    </row>
    <row r="8" spans="1:13">
      <c r="A8" s="648"/>
      <c r="B8" s="187"/>
      <c r="C8" s="289" t="s">
        <v>4329</v>
      </c>
      <c r="D8" s="187">
        <v>111</v>
      </c>
      <c r="E8" s="649">
        <v>2</v>
      </c>
      <c r="F8" s="952">
        <v>422</v>
      </c>
      <c r="G8" s="953" t="s">
        <v>3772</v>
      </c>
      <c r="H8" s="810">
        <v>50000</v>
      </c>
      <c r="I8" s="644">
        <v>0</v>
      </c>
      <c r="J8" s="954">
        <f t="shared" ref="J8:J13" si="0">H8-I8</f>
        <v>50000</v>
      </c>
      <c r="K8" s="947">
        <v>0</v>
      </c>
      <c r="L8" s="721"/>
      <c r="M8" s="736"/>
    </row>
    <row r="9" spans="1:13">
      <c r="A9" s="648"/>
      <c r="B9" s="187"/>
      <c r="C9" s="289" t="s">
        <v>4329</v>
      </c>
      <c r="D9" s="187">
        <v>111</v>
      </c>
      <c r="E9" s="649">
        <v>3</v>
      </c>
      <c r="F9" s="955">
        <v>423</v>
      </c>
      <c r="G9" s="956" t="s">
        <v>3773</v>
      </c>
      <c r="H9" s="810">
        <v>4300000</v>
      </c>
      <c r="I9" s="644">
        <v>2444531.85</v>
      </c>
      <c r="J9" s="954">
        <f t="shared" si="0"/>
        <v>1855468.15</v>
      </c>
      <c r="K9" s="947">
        <v>56.85</v>
      </c>
      <c r="L9" s="721"/>
      <c r="M9" s="736"/>
    </row>
    <row r="10" spans="1:13">
      <c r="A10" s="648"/>
      <c r="B10" s="187"/>
      <c r="C10" s="289" t="s">
        <v>4329</v>
      </c>
      <c r="D10" s="187">
        <v>111</v>
      </c>
      <c r="E10" s="649">
        <v>4</v>
      </c>
      <c r="F10" s="952">
        <v>424</v>
      </c>
      <c r="G10" s="953" t="s">
        <v>3775</v>
      </c>
      <c r="H10" s="810">
        <v>50000</v>
      </c>
      <c r="I10" s="644">
        <v>0</v>
      </c>
      <c r="J10" s="954">
        <f t="shared" si="0"/>
        <v>50000</v>
      </c>
      <c r="K10" s="947">
        <v>0</v>
      </c>
      <c r="M10" s="736"/>
    </row>
    <row r="11" spans="1:13">
      <c r="A11" s="648"/>
      <c r="B11" s="187"/>
      <c r="C11" s="289" t="s">
        <v>4329</v>
      </c>
      <c r="D11" s="187">
        <v>111</v>
      </c>
      <c r="E11" s="649">
        <v>5</v>
      </c>
      <c r="F11" s="952">
        <v>426</v>
      </c>
      <c r="G11" s="953" t="s">
        <v>3779</v>
      </c>
      <c r="H11" s="810">
        <v>150000</v>
      </c>
      <c r="I11" s="644">
        <v>30952</v>
      </c>
      <c r="J11" s="954">
        <f t="shared" si="0"/>
        <v>119048</v>
      </c>
      <c r="K11" s="947">
        <v>20.63</v>
      </c>
      <c r="M11" s="736"/>
    </row>
    <row r="12" spans="1:13">
      <c r="A12" s="760"/>
      <c r="B12" s="187"/>
      <c r="C12" s="289" t="s">
        <v>4329</v>
      </c>
      <c r="D12" s="187">
        <v>111</v>
      </c>
      <c r="E12" s="761" t="s">
        <v>4659</v>
      </c>
      <c r="F12" s="952">
        <v>465</v>
      </c>
      <c r="G12" s="953" t="s">
        <v>4022</v>
      </c>
      <c r="H12" s="810">
        <v>80000</v>
      </c>
      <c r="I12" s="644">
        <v>55538.01</v>
      </c>
      <c r="J12" s="954">
        <f t="shared" si="0"/>
        <v>24461.989999999998</v>
      </c>
      <c r="K12" s="947">
        <v>69.42</v>
      </c>
      <c r="M12" s="736"/>
    </row>
    <row r="13" spans="1:13" ht="30.75" thickBot="1">
      <c r="A13" s="648"/>
      <c r="B13" s="187"/>
      <c r="C13" s="289" t="s">
        <v>4329</v>
      </c>
      <c r="D13" s="187">
        <v>111</v>
      </c>
      <c r="E13" s="649">
        <v>6</v>
      </c>
      <c r="F13" s="957">
        <v>481</v>
      </c>
      <c r="G13" s="958" t="s">
        <v>4250</v>
      </c>
      <c r="H13" s="959">
        <v>230000</v>
      </c>
      <c r="I13" s="915">
        <v>0</v>
      </c>
      <c r="J13" s="960">
        <f t="shared" si="0"/>
        <v>230000</v>
      </c>
      <c r="K13" s="948">
        <v>0</v>
      </c>
      <c r="M13" s="736"/>
    </row>
    <row r="14" spans="1:13" ht="15.75" thickBot="1">
      <c r="A14" s="648"/>
      <c r="B14" s="187"/>
      <c r="C14" s="289"/>
      <c r="D14" s="187"/>
      <c r="E14" s="649"/>
      <c r="F14" s="1265" t="s">
        <v>4338</v>
      </c>
      <c r="G14" s="1266"/>
      <c r="H14" s="344">
        <f>SUM(H7:H13)</f>
        <v>4910000</v>
      </c>
      <c r="I14" s="349">
        <f>SUM(I7:I13)</f>
        <v>2556408.42</v>
      </c>
      <c r="J14" s="349">
        <f>SUM(J7:J13)</f>
        <v>2353591.58</v>
      </c>
      <c r="K14" s="961">
        <v>52.06</v>
      </c>
      <c r="M14" s="736"/>
    </row>
    <row r="15" spans="1:13" collapsed="1">
      <c r="A15" s="648"/>
      <c r="B15" s="187"/>
      <c r="C15" s="289"/>
      <c r="D15" s="187"/>
      <c r="E15" s="649"/>
      <c r="F15" s="1299" t="s">
        <v>4564</v>
      </c>
      <c r="G15" s="1300"/>
      <c r="H15" s="1305">
        <f>H14</f>
        <v>4910000</v>
      </c>
      <c r="I15" s="1262">
        <f>I14</f>
        <v>2556408.42</v>
      </c>
      <c r="J15" s="1262">
        <f>J14</f>
        <v>2353591.58</v>
      </c>
      <c r="K15" s="1262">
        <v>52.06</v>
      </c>
      <c r="M15" s="736"/>
    </row>
    <row r="16" spans="1:13">
      <c r="A16" s="648"/>
      <c r="B16" s="187"/>
      <c r="C16" s="289"/>
      <c r="D16" s="187"/>
      <c r="E16" s="649"/>
      <c r="F16" s="1301"/>
      <c r="G16" s="1302"/>
      <c r="H16" s="1306"/>
      <c r="I16" s="1263"/>
      <c r="J16" s="1263"/>
      <c r="K16" s="1263"/>
      <c r="M16" s="736"/>
    </row>
    <row r="17" spans="1:13" ht="15.75" thickBot="1">
      <c r="A17" s="271"/>
      <c r="B17" s="274"/>
      <c r="C17" s="290"/>
      <c r="D17" s="274"/>
      <c r="E17" s="275"/>
      <c r="F17" s="1303"/>
      <c r="G17" s="1304"/>
      <c r="H17" s="1307"/>
      <c r="I17" s="1264"/>
      <c r="J17" s="1264"/>
      <c r="K17" s="1264"/>
      <c r="M17" s="736"/>
    </row>
    <row r="18" spans="1:13" ht="15.75" thickBot="1">
      <c r="M18" s="736"/>
    </row>
    <row r="19" spans="1:13" ht="24.75" customHeight="1" thickBot="1">
      <c r="A19" s="276">
        <v>2</v>
      </c>
      <c r="B19" s="276"/>
      <c r="C19" s="277"/>
      <c r="D19" s="278"/>
      <c r="E19" s="278"/>
      <c r="F19" s="278"/>
      <c r="G19" s="293" t="s">
        <v>4251</v>
      </c>
      <c r="H19" s="280"/>
      <c r="I19" s="812"/>
      <c r="J19" s="1239"/>
      <c r="K19" s="1240"/>
      <c r="M19" s="736"/>
    </row>
    <row r="20" spans="1:13" ht="32.25" customHeight="1">
      <c r="A20" s="461"/>
      <c r="B20" s="187"/>
      <c r="C20" s="286" t="s">
        <v>4328</v>
      </c>
      <c r="D20" s="187"/>
      <c r="E20" s="187"/>
      <c r="F20" s="296"/>
      <c r="G20" s="196" t="s">
        <v>4327</v>
      </c>
      <c r="H20" s="306"/>
      <c r="I20" s="340"/>
      <c r="J20" s="845"/>
      <c r="K20" s="943"/>
      <c r="M20" s="736"/>
    </row>
    <row r="21" spans="1:13" ht="18.75" customHeight="1">
      <c r="A21" s="461"/>
      <c r="B21" s="187"/>
      <c r="C21" s="286" t="s">
        <v>4339</v>
      </c>
      <c r="D21" s="190"/>
      <c r="E21" s="187"/>
      <c r="F21" s="296"/>
      <c r="G21" s="196" t="s">
        <v>4340</v>
      </c>
      <c r="H21" s="306"/>
      <c r="I21" s="340"/>
      <c r="J21" s="845"/>
      <c r="K21" s="943"/>
      <c r="M21" s="736"/>
    </row>
    <row r="22" spans="1:13" ht="30.75" thickBot="1">
      <c r="A22" s="461"/>
      <c r="B22" s="187"/>
      <c r="C22" s="289" t="s">
        <v>4339</v>
      </c>
      <c r="D22" s="187">
        <v>111</v>
      </c>
      <c r="E22" s="287"/>
      <c r="F22" s="297"/>
      <c r="G22" s="192" t="s">
        <v>107</v>
      </c>
      <c r="H22" s="306"/>
      <c r="I22" s="340"/>
      <c r="J22" s="845"/>
      <c r="K22" s="943"/>
      <c r="M22" s="736"/>
    </row>
    <row r="23" spans="1:13">
      <c r="A23" s="461"/>
      <c r="B23" s="187"/>
      <c r="C23" s="289" t="s">
        <v>4339</v>
      </c>
      <c r="D23" s="187">
        <v>111</v>
      </c>
      <c r="E23" s="187">
        <v>7</v>
      </c>
      <c r="F23" s="962">
        <v>421</v>
      </c>
      <c r="G23" s="463" t="s">
        <v>3771</v>
      </c>
      <c r="H23" s="416">
        <v>100000</v>
      </c>
      <c r="I23" s="864">
        <v>61746.16</v>
      </c>
      <c r="J23" s="935">
        <f>H23-I23</f>
        <v>38253.839999999997</v>
      </c>
      <c r="K23" s="946">
        <v>61.74</v>
      </c>
      <c r="M23" s="736"/>
    </row>
    <row r="24" spans="1:13">
      <c r="A24" s="461"/>
      <c r="B24" s="187"/>
      <c r="C24" s="289" t="s">
        <v>4339</v>
      </c>
      <c r="D24" s="187">
        <v>111</v>
      </c>
      <c r="E24" s="187">
        <v>8</v>
      </c>
      <c r="F24" s="497">
        <v>422</v>
      </c>
      <c r="G24" s="485" t="s">
        <v>3772</v>
      </c>
      <c r="H24" s="411">
        <v>100000</v>
      </c>
      <c r="I24" s="814">
        <v>91150</v>
      </c>
      <c r="J24" s="644">
        <f>H24-I24</f>
        <v>8850</v>
      </c>
      <c r="K24" s="947">
        <v>91.15</v>
      </c>
      <c r="M24" s="736"/>
    </row>
    <row r="25" spans="1:13">
      <c r="A25" s="461"/>
      <c r="B25" s="187"/>
      <c r="C25" s="289" t="s">
        <v>4339</v>
      </c>
      <c r="D25" s="187">
        <v>111</v>
      </c>
      <c r="E25" s="187">
        <v>9</v>
      </c>
      <c r="F25" s="497">
        <v>423</v>
      </c>
      <c r="G25" s="485" t="s">
        <v>4313</v>
      </c>
      <c r="H25" s="411">
        <v>4700000</v>
      </c>
      <c r="I25" s="814">
        <v>2740374.98</v>
      </c>
      <c r="J25" s="644">
        <f t="shared" ref="J25:J28" si="1">H25-I25</f>
        <v>1959625.02</v>
      </c>
      <c r="K25" s="947">
        <v>58.3</v>
      </c>
      <c r="M25" s="736"/>
    </row>
    <row r="26" spans="1:13">
      <c r="A26" s="461"/>
      <c r="B26" s="187"/>
      <c r="C26" s="289" t="s">
        <v>4339</v>
      </c>
      <c r="D26" s="187">
        <v>111</v>
      </c>
      <c r="E26" s="187">
        <v>10</v>
      </c>
      <c r="F26" s="497">
        <v>424</v>
      </c>
      <c r="G26" s="485" t="s">
        <v>3775</v>
      </c>
      <c r="H26" s="411">
        <v>200000</v>
      </c>
      <c r="I26" s="814">
        <v>131200</v>
      </c>
      <c r="J26" s="644">
        <f t="shared" si="1"/>
        <v>68800</v>
      </c>
      <c r="K26" s="947">
        <v>65.599999999999994</v>
      </c>
      <c r="M26" s="736"/>
    </row>
    <row r="27" spans="1:13">
      <c r="A27" s="461"/>
      <c r="B27" s="187"/>
      <c r="C27" s="289" t="s">
        <v>4339</v>
      </c>
      <c r="D27" s="187">
        <v>111</v>
      </c>
      <c r="E27" s="187">
        <v>11</v>
      </c>
      <c r="F27" s="497">
        <v>425</v>
      </c>
      <c r="G27" s="485" t="s">
        <v>4030</v>
      </c>
      <c r="H27" s="411">
        <v>50000</v>
      </c>
      <c r="I27" s="814">
        <v>0</v>
      </c>
      <c r="J27" s="644">
        <f t="shared" si="1"/>
        <v>50000</v>
      </c>
      <c r="K27" s="947">
        <v>0</v>
      </c>
      <c r="M27" s="736"/>
    </row>
    <row r="28" spans="1:13" ht="15.75" thickBot="1">
      <c r="A28" s="461"/>
      <c r="B28" s="187"/>
      <c r="C28" s="289" t="s">
        <v>4339</v>
      </c>
      <c r="D28" s="187">
        <v>111</v>
      </c>
      <c r="E28" s="187">
        <v>12</v>
      </c>
      <c r="F28" s="498">
        <v>426</v>
      </c>
      <c r="G28" s="499" t="s">
        <v>3779</v>
      </c>
      <c r="H28" s="495">
        <v>200000</v>
      </c>
      <c r="I28" s="815">
        <v>2550</v>
      </c>
      <c r="J28" s="644">
        <f t="shared" si="1"/>
        <v>197450</v>
      </c>
      <c r="K28" s="948">
        <v>1.27</v>
      </c>
      <c r="M28" s="736"/>
    </row>
    <row r="29" spans="1:13" ht="15.75" thickBot="1">
      <c r="A29" s="461"/>
      <c r="B29" s="187"/>
      <c r="C29" s="289"/>
      <c r="D29" s="187"/>
      <c r="E29" s="187"/>
      <c r="F29" s="1265" t="s">
        <v>4341</v>
      </c>
      <c r="G29" s="1266"/>
      <c r="H29" s="344">
        <f>SUM(H23:H28)</f>
        <v>5350000</v>
      </c>
      <c r="I29" s="816">
        <f>SUM(I23:I28)</f>
        <v>3027021.14</v>
      </c>
      <c r="J29" s="816">
        <f>SUM(J23:J28)</f>
        <v>2322978.8600000003</v>
      </c>
      <c r="K29" s="961">
        <v>56.58</v>
      </c>
      <c r="M29" s="736"/>
    </row>
    <row r="30" spans="1:13" ht="39" customHeight="1" thickBot="1">
      <c r="A30" s="271"/>
      <c r="B30" s="274"/>
      <c r="C30" s="290"/>
      <c r="D30" s="274"/>
      <c r="E30" s="274"/>
      <c r="F30" s="1269" t="s">
        <v>4565</v>
      </c>
      <c r="G30" s="1270"/>
      <c r="H30" s="466">
        <f>SUM(H23:H28)</f>
        <v>5350000</v>
      </c>
      <c r="I30" s="817">
        <f>SUM(I23:I28)</f>
        <v>3027021.14</v>
      </c>
      <c r="J30" s="817">
        <f>SUM(J23:J28)</f>
        <v>2322978.8600000003</v>
      </c>
      <c r="K30" s="817">
        <v>56.58</v>
      </c>
      <c r="M30" s="736"/>
    </row>
    <row r="31" spans="1:13">
      <c r="M31" s="736"/>
    </row>
    <row r="32" spans="1:13" ht="15.75" thickBot="1">
      <c r="M32" s="736"/>
    </row>
    <row r="33" spans="1:13" ht="26.25" customHeight="1" thickBot="1">
      <c r="A33" s="276">
        <v>3</v>
      </c>
      <c r="B33" s="276"/>
      <c r="C33" s="277"/>
      <c r="D33" s="278"/>
      <c r="E33" s="278"/>
      <c r="F33" s="278"/>
      <c r="G33" s="293" t="s">
        <v>4252</v>
      </c>
      <c r="H33" s="280"/>
      <c r="I33" s="812"/>
      <c r="J33" s="1239"/>
      <c r="K33" s="1240"/>
      <c r="M33" s="736"/>
    </row>
    <row r="34" spans="1:13" ht="30.75" customHeight="1">
      <c r="A34" s="281"/>
      <c r="B34" s="282"/>
      <c r="C34" s="286" t="s">
        <v>4328</v>
      </c>
      <c r="D34" s="284"/>
      <c r="E34" s="285"/>
      <c r="F34" s="302"/>
      <c r="G34" s="196" t="s">
        <v>4327</v>
      </c>
      <c r="H34" s="291"/>
      <c r="I34" s="339"/>
      <c r="J34" s="841"/>
      <c r="K34" s="942"/>
      <c r="M34" s="736"/>
    </row>
    <row r="35" spans="1:13" ht="24" customHeight="1">
      <c r="A35" s="270"/>
      <c r="B35" s="187"/>
      <c r="C35" s="286" t="s">
        <v>4339</v>
      </c>
      <c r="D35" s="190"/>
      <c r="E35" s="273"/>
      <c r="F35" s="296"/>
      <c r="G35" s="196" t="s">
        <v>4340</v>
      </c>
      <c r="H35" s="292"/>
      <c r="I35" s="339"/>
      <c r="J35" s="340"/>
      <c r="K35" s="943"/>
      <c r="M35" s="736"/>
    </row>
    <row r="36" spans="1:13" ht="30.75" thickBot="1">
      <c r="A36" s="270"/>
      <c r="B36" s="187"/>
      <c r="C36" s="289"/>
      <c r="D36" s="187"/>
      <c r="E36" s="273"/>
      <c r="F36" s="297"/>
      <c r="G36" s="192" t="s">
        <v>107</v>
      </c>
      <c r="H36" s="292"/>
      <c r="I36" s="339"/>
      <c r="J36" s="340"/>
      <c r="K36" s="945"/>
      <c r="M36" s="736"/>
    </row>
    <row r="37" spans="1:13">
      <c r="A37" s="549"/>
      <c r="B37" s="187"/>
      <c r="C37" s="289" t="s">
        <v>4339</v>
      </c>
      <c r="D37" s="187">
        <v>111</v>
      </c>
      <c r="E37" s="442" t="s">
        <v>258</v>
      </c>
      <c r="F37" s="550">
        <v>411</v>
      </c>
      <c r="G37" s="463" t="s">
        <v>4020</v>
      </c>
      <c r="H37" s="416">
        <v>2620000</v>
      </c>
      <c r="I37" s="818">
        <v>1928504.03</v>
      </c>
      <c r="J37" s="917">
        <f>H37-I37</f>
        <v>691495.97</v>
      </c>
      <c r="K37" s="946">
        <v>73.599999999999994</v>
      </c>
      <c r="M37" s="736"/>
    </row>
    <row r="38" spans="1:13">
      <c r="A38" s="549"/>
      <c r="B38" s="187"/>
      <c r="C38" s="289" t="s">
        <v>4339</v>
      </c>
      <c r="D38" s="187">
        <v>111</v>
      </c>
      <c r="E38" s="442" t="s">
        <v>260</v>
      </c>
      <c r="F38" s="725">
        <v>412</v>
      </c>
      <c r="G38" s="727" t="s">
        <v>3758</v>
      </c>
      <c r="H38" s="411">
        <v>490000</v>
      </c>
      <c r="I38" s="819">
        <v>345202.22</v>
      </c>
      <c r="J38" s="913">
        <f>H38-I38</f>
        <v>144797.78000000003</v>
      </c>
      <c r="K38" s="947">
        <v>70.44</v>
      </c>
      <c r="M38" s="736"/>
    </row>
    <row r="39" spans="1:13">
      <c r="A39" s="549"/>
      <c r="B39" s="187"/>
      <c r="C39" s="289" t="s">
        <v>4339</v>
      </c>
      <c r="D39" s="187">
        <v>111</v>
      </c>
      <c r="E39" s="442" t="s">
        <v>262</v>
      </c>
      <c r="F39" s="726">
        <v>421</v>
      </c>
      <c r="G39" s="728" t="s">
        <v>3771</v>
      </c>
      <c r="H39" s="402">
        <v>200000</v>
      </c>
      <c r="I39" s="820">
        <v>101419.85</v>
      </c>
      <c r="J39" s="913">
        <f t="shared" ref="J39:J44" si="2">H39-I39</f>
        <v>98580.15</v>
      </c>
      <c r="K39" s="947">
        <v>50.71</v>
      </c>
      <c r="M39" s="736"/>
    </row>
    <row r="40" spans="1:13">
      <c r="A40" s="270"/>
      <c r="B40" s="187"/>
      <c r="C40" s="289" t="s">
        <v>4339</v>
      </c>
      <c r="D40" s="187">
        <v>111</v>
      </c>
      <c r="E40" s="187">
        <v>16</v>
      </c>
      <c r="F40" s="726">
        <v>422</v>
      </c>
      <c r="G40" s="729" t="s">
        <v>3772</v>
      </c>
      <c r="H40" s="411">
        <v>200000</v>
      </c>
      <c r="I40" s="819">
        <v>63276.55</v>
      </c>
      <c r="J40" s="913">
        <f t="shared" si="2"/>
        <v>136723.45000000001</v>
      </c>
      <c r="K40" s="947">
        <v>31.63</v>
      </c>
      <c r="M40" s="736"/>
    </row>
    <row r="41" spans="1:13">
      <c r="A41" s="270"/>
      <c r="B41" s="187"/>
      <c r="C41" s="289" t="s">
        <v>4339</v>
      </c>
      <c r="D41" s="187">
        <v>111</v>
      </c>
      <c r="E41" s="187">
        <v>17</v>
      </c>
      <c r="F41" s="726">
        <v>423</v>
      </c>
      <c r="G41" s="729" t="s">
        <v>3773</v>
      </c>
      <c r="H41" s="411">
        <v>1200000</v>
      </c>
      <c r="I41" s="819">
        <v>548552.5</v>
      </c>
      <c r="J41" s="913">
        <f t="shared" si="2"/>
        <v>651447.5</v>
      </c>
      <c r="K41" s="947">
        <v>45.71</v>
      </c>
      <c r="M41" s="736"/>
    </row>
    <row r="42" spans="1:13">
      <c r="A42" s="270"/>
      <c r="B42" s="187"/>
      <c r="C42" s="289" t="s">
        <v>4339</v>
      </c>
      <c r="D42" s="187">
        <v>111</v>
      </c>
      <c r="E42" s="187">
        <v>18</v>
      </c>
      <c r="F42" s="726">
        <v>424</v>
      </c>
      <c r="G42" s="729" t="s">
        <v>3775</v>
      </c>
      <c r="H42" s="411">
        <v>100000</v>
      </c>
      <c r="I42" s="819">
        <v>0</v>
      </c>
      <c r="J42" s="913">
        <f t="shared" si="2"/>
        <v>100000</v>
      </c>
      <c r="K42" s="947">
        <v>0</v>
      </c>
      <c r="M42" s="736"/>
    </row>
    <row r="43" spans="1:13">
      <c r="A43" s="270"/>
      <c r="B43" s="187"/>
      <c r="C43" s="289" t="s">
        <v>4339</v>
      </c>
      <c r="D43" s="187">
        <v>111</v>
      </c>
      <c r="E43" s="187">
        <v>19</v>
      </c>
      <c r="F43" s="726">
        <v>426</v>
      </c>
      <c r="G43" s="729" t="s">
        <v>3779</v>
      </c>
      <c r="H43" s="430">
        <v>150000</v>
      </c>
      <c r="I43" s="821">
        <v>69342</v>
      </c>
      <c r="J43" s="913">
        <f t="shared" si="2"/>
        <v>80658</v>
      </c>
      <c r="K43" s="947">
        <v>46.22</v>
      </c>
      <c r="M43" s="736"/>
    </row>
    <row r="44" spans="1:13" ht="15.75" thickBot="1">
      <c r="A44" s="270"/>
      <c r="B44" s="187"/>
      <c r="C44" s="289" t="s">
        <v>4339</v>
      </c>
      <c r="D44" s="187">
        <v>111</v>
      </c>
      <c r="E44" s="442" t="s">
        <v>4628</v>
      </c>
      <c r="F44" s="565">
        <v>465</v>
      </c>
      <c r="G44" s="730" t="s">
        <v>4022</v>
      </c>
      <c r="H44" s="430">
        <v>350000</v>
      </c>
      <c r="I44" s="821">
        <v>245294.94</v>
      </c>
      <c r="J44" s="913">
        <f t="shared" si="2"/>
        <v>104705.06</v>
      </c>
      <c r="K44" s="948">
        <v>70.08</v>
      </c>
      <c r="M44" s="736"/>
    </row>
    <row r="45" spans="1:13" ht="15.75" thickBot="1">
      <c r="A45" s="350"/>
      <c r="B45" s="187"/>
      <c r="C45" s="286"/>
      <c r="D45" s="187"/>
      <c r="E45" s="351"/>
      <c r="F45" s="1267" t="s">
        <v>4341</v>
      </c>
      <c r="G45" s="1268"/>
      <c r="H45" s="344">
        <f>SUM(H37:H44)</f>
        <v>5310000</v>
      </c>
      <c r="I45" s="349">
        <f>SUM(I37:I44)</f>
        <v>3301592.09</v>
      </c>
      <c r="J45" s="816">
        <f>SUM(J37:J44)</f>
        <v>2008407.9100000001</v>
      </c>
      <c r="K45" s="961">
        <v>62.17</v>
      </c>
      <c r="M45" s="736"/>
    </row>
    <row r="46" spans="1:13" ht="33" customHeight="1" thickBot="1">
      <c r="A46" s="271"/>
      <c r="B46" s="274"/>
      <c r="C46" s="300"/>
      <c r="D46" s="301"/>
      <c r="E46" s="275"/>
      <c r="F46" s="1271" t="s">
        <v>4566</v>
      </c>
      <c r="G46" s="1272"/>
      <c r="H46" s="299">
        <f>H45</f>
        <v>5310000</v>
      </c>
      <c r="I46" s="822">
        <f>I45</f>
        <v>3301592.09</v>
      </c>
      <c r="J46" s="822">
        <f>J45</f>
        <v>2008407.9100000001</v>
      </c>
      <c r="K46" s="822">
        <v>62.17</v>
      </c>
      <c r="M46" s="736"/>
    </row>
    <row r="47" spans="1:13" ht="34.5" customHeight="1" thickBot="1">
      <c r="C47" s="188"/>
      <c r="D47" s="185"/>
      <c r="G47" s="197"/>
      <c r="M47" s="736"/>
    </row>
    <row r="48" spans="1:13" ht="29.25" thickBot="1">
      <c r="A48" s="276">
        <v>4</v>
      </c>
      <c r="B48" s="276"/>
      <c r="C48" s="277"/>
      <c r="D48" s="278"/>
      <c r="E48" s="278"/>
      <c r="F48" s="278"/>
      <c r="G48" s="279" t="s">
        <v>4253</v>
      </c>
      <c r="H48" s="280"/>
      <c r="I48" s="812"/>
      <c r="J48" s="1239"/>
      <c r="K48" s="1240"/>
      <c r="M48" s="736"/>
    </row>
    <row r="49" spans="1:14" ht="28.5">
      <c r="A49" s="281"/>
      <c r="B49" s="187"/>
      <c r="C49" s="286" t="s">
        <v>3601</v>
      </c>
      <c r="D49" s="190"/>
      <c r="E49" s="649"/>
      <c r="F49" s="296"/>
      <c r="G49" s="196" t="s">
        <v>4397</v>
      </c>
      <c r="H49" s="292"/>
      <c r="I49" s="339"/>
      <c r="J49" s="340"/>
      <c r="K49" s="943"/>
      <c r="M49" s="736"/>
    </row>
    <row r="50" spans="1:14">
      <c r="A50" s="270"/>
      <c r="B50" s="187"/>
      <c r="C50" s="286" t="s">
        <v>3999</v>
      </c>
      <c r="D50" s="190"/>
      <c r="E50" s="273"/>
      <c r="F50" s="296"/>
      <c r="G50" s="196" t="s">
        <v>4000</v>
      </c>
      <c r="H50" s="292"/>
      <c r="I50" s="339"/>
      <c r="J50" s="340"/>
      <c r="K50" s="943"/>
      <c r="M50" s="736"/>
    </row>
    <row r="51" spans="1:14" ht="15.75" thickBot="1">
      <c r="A51" s="270"/>
      <c r="B51" s="187"/>
      <c r="C51" s="286"/>
      <c r="D51" s="187">
        <v>330</v>
      </c>
      <c r="E51" s="288"/>
      <c r="F51" s="297"/>
      <c r="G51" s="192" t="s">
        <v>132</v>
      </c>
      <c r="H51" s="292"/>
      <c r="I51" s="339"/>
      <c r="J51" s="340"/>
      <c r="K51" s="943"/>
      <c r="M51" s="736"/>
    </row>
    <row r="52" spans="1:14">
      <c r="A52" s="270"/>
      <c r="B52" s="187"/>
      <c r="C52" s="289" t="s">
        <v>3999</v>
      </c>
      <c r="D52" s="187">
        <v>330</v>
      </c>
      <c r="E52" s="187">
        <v>21</v>
      </c>
      <c r="F52" s="962">
        <v>411</v>
      </c>
      <c r="G52" s="463" t="s">
        <v>4020</v>
      </c>
      <c r="H52" s="416">
        <v>1500000</v>
      </c>
      <c r="I52" s="864">
        <v>861692.09</v>
      </c>
      <c r="J52" s="935">
        <f>H52-I52</f>
        <v>638307.91</v>
      </c>
      <c r="K52" s="946">
        <v>57.44</v>
      </c>
      <c r="M52" s="736"/>
    </row>
    <row r="53" spans="1:14">
      <c r="A53" s="270"/>
      <c r="B53" s="187"/>
      <c r="C53" s="289" t="s">
        <v>3999</v>
      </c>
      <c r="D53" s="187">
        <v>330</v>
      </c>
      <c r="E53" s="187">
        <v>22</v>
      </c>
      <c r="F53" s="965">
        <v>412</v>
      </c>
      <c r="G53" s="966" t="s">
        <v>3758</v>
      </c>
      <c r="H53" s="411">
        <v>250000</v>
      </c>
      <c r="I53" s="880">
        <v>154242.79</v>
      </c>
      <c r="J53" s="644">
        <f>H53-I53</f>
        <v>95757.209999999992</v>
      </c>
      <c r="K53" s="947">
        <v>61.69</v>
      </c>
      <c r="M53" s="736"/>
    </row>
    <row r="54" spans="1:14">
      <c r="A54" s="270"/>
      <c r="B54" s="187"/>
      <c r="C54" s="289" t="s">
        <v>3999</v>
      </c>
      <c r="D54" s="187">
        <v>330</v>
      </c>
      <c r="E54" s="187">
        <v>23</v>
      </c>
      <c r="F54" s="965">
        <v>421</v>
      </c>
      <c r="G54" s="967" t="s">
        <v>3771</v>
      </c>
      <c r="H54" s="411">
        <v>50000</v>
      </c>
      <c r="I54" s="880">
        <v>5769.75</v>
      </c>
      <c r="J54" s="644">
        <f t="shared" ref="J54:J58" si="3">H54-I54</f>
        <v>44230.25</v>
      </c>
      <c r="K54" s="947">
        <v>11.54</v>
      </c>
      <c r="M54" s="736"/>
    </row>
    <row r="55" spans="1:14">
      <c r="A55" s="270"/>
      <c r="B55" s="187"/>
      <c r="C55" s="289" t="s">
        <v>3999</v>
      </c>
      <c r="D55" s="187">
        <v>330</v>
      </c>
      <c r="E55" s="187">
        <v>24</v>
      </c>
      <c r="F55" s="965">
        <v>422</v>
      </c>
      <c r="G55" s="967" t="s">
        <v>3772</v>
      </c>
      <c r="H55" s="411">
        <v>50000</v>
      </c>
      <c r="I55" s="880">
        <v>50000</v>
      </c>
      <c r="J55" s="644">
        <f t="shared" si="3"/>
        <v>0</v>
      </c>
      <c r="K55" s="947">
        <v>100</v>
      </c>
      <c r="M55" s="736"/>
    </row>
    <row r="56" spans="1:14">
      <c r="A56" s="270"/>
      <c r="B56" s="187"/>
      <c r="C56" s="289" t="s">
        <v>3999</v>
      </c>
      <c r="D56" s="187">
        <v>330</v>
      </c>
      <c r="E56" s="187">
        <v>25</v>
      </c>
      <c r="F56" s="965">
        <v>423</v>
      </c>
      <c r="G56" s="967" t="s">
        <v>3773</v>
      </c>
      <c r="H56" s="411">
        <v>500000</v>
      </c>
      <c r="I56" s="880">
        <v>335968.2</v>
      </c>
      <c r="J56" s="644">
        <f t="shared" si="3"/>
        <v>164031.79999999999</v>
      </c>
      <c r="K56" s="947">
        <v>67.19</v>
      </c>
      <c r="M56" s="736"/>
    </row>
    <row r="57" spans="1:14">
      <c r="A57" s="722"/>
      <c r="B57" s="187"/>
      <c r="C57" s="289" t="s">
        <v>3999</v>
      </c>
      <c r="D57" s="187">
        <v>330</v>
      </c>
      <c r="E57" s="187">
        <v>26</v>
      </c>
      <c r="F57" s="428">
        <v>426</v>
      </c>
      <c r="G57" s="429" t="s">
        <v>3779</v>
      </c>
      <c r="H57" s="430">
        <v>190000</v>
      </c>
      <c r="I57" s="823">
        <v>5590</v>
      </c>
      <c r="J57" s="644">
        <f t="shared" si="3"/>
        <v>184410</v>
      </c>
      <c r="K57" s="947">
        <v>2.94</v>
      </c>
      <c r="M57" s="736"/>
    </row>
    <row r="58" spans="1:14" ht="15.75" thickBot="1">
      <c r="A58" s="270"/>
      <c r="B58" s="187"/>
      <c r="C58" s="289" t="s">
        <v>3999</v>
      </c>
      <c r="D58" s="187">
        <v>330</v>
      </c>
      <c r="E58" s="187">
        <v>27</v>
      </c>
      <c r="F58" s="965">
        <v>465</v>
      </c>
      <c r="G58" s="967" t="s">
        <v>4312</v>
      </c>
      <c r="H58" s="411">
        <v>160000</v>
      </c>
      <c r="I58" s="823">
        <v>109851.57</v>
      </c>
      <c r="J58" s="644">
        <f t="shared" si="3"/>
        <v>50148.429999999993</v>
      </c>
      <c r="K58" s="948">
        <v>68.650000000000006</v>
      </c>
      <c r="M58" s="736"/>
    </row>
    <row r="59" spans="1:14" ht="15.75" thickBot="1">
      <c r="A59" s="350"/>
      <c r="B59" s="187"/>
      <c r="C59" s="289"/>
      <c r="D59" s="187"/>
      <c r="E59" s="351"/>
      <c r="F59" s="1265" t="s">
        <v>4311</v>
      </c>
      <c r="G59" s="1266"/>
      <c r="H59" s="344">
        <f>SUM(H52:H58)</f>
        <v>2700000</v>
      </c>
      <c r="I59" s="349">
        <f>SUM(I52:I58)</f>
        <v>1523114.4</v>
      </c>
      <c r="J59" s="816">
        <f>SUM(J52:J58)</f>
        <v>1176885.5999999999</v>
      </c>
      <c r="K59" s="961">
        <v>56.41</v>
      </c>
      <c r="M59" s="736"/>
    </row>
    <row r="60" spans="1:14" ht="33.75" customHeight="1" thickBot="1">
      <c r="A60" s="271"/>
      <c r="B60" s="274"/>
      <c r="C60" s="290"/>
      <c r="D60" s="274"/>
      <c r="E60" s="275"/>
      <c r="F60" s="1271" t="s">
        <v>4567</v>
      </c>
      <c r="G60" s="1272"/>
      <c r="H60" s="299">
        <f>H59</f>
        <v>2700000</v>
      </c>
      <c r="I60" s="822">
        <f>I59</f>
        <v>1523114.4</v>
      </c>
      <c r="J60" s="822">
        <f>J59</f>
        <v>1176885.5999999999</v>
      </c>
      <c r="K60" s="822">
        <v>56.41</v>
      </c>
      <c r="M60" s="736"/>
    </row>
    <row r="61" spans="1:14" s="191" customFormat="1" ht="29.25" customHeight="1" thickBot="1">
      <c r="A61" s="187"/>
      <c r="B61" s="187"/>
      <c r="C61" s="289"/>
      <c r="D61" s="187"/>
      <c r="E61" s="187"/>
      <c r="F61" s="199"/>
      <c r="G61" s="198"/>
      <c r="H61" s="250"/>
      <c r="I61" s="339"/>
      <c r="J61" s="339"/>
      <c r="K61" s="536"/>
      <c r="L61" s="443"/>
      <c r="M61" s="736"/>
      <c r="N61" s="536"/>
    </row>
    <row r="62" spans="1:14" ht="24" customHeight="1" thickBot="1">
      <c r="A62" s="731">
        <v>5</v>
      </c>
      <c r="B62" s="731"/>
      <c r="C62" s="732"/>
      <c r="D62" s="733"/>
      <c r="E62" s="733"/>
      <c r="F62" s="733"/>
      <c r="G62" s="734" t="s">
        <v>4254</v>
      </c>
      <c r="H62" s="735"/>
      <c r="I62" s="824"/>
      <c r="J62" s="1246"/>
      <c r="K62" s="1247"/>
      <c r="M62" s="736"/>
    </row>
    <row r="63" spans="1:14" s="443" customFormat="1" ht="18" customHeight="1">
      <c r="A63" s="281"/>
      <c r="B63" s="282"/>
      <c r="C63" s="283" t="s">
        <v>3589</v>
      </c>
      <c r="D63" s="284"/>
      <c r="E63" s="282"/>
      <c r="F63" s="539"/>
      <c r="G63" s="294" t="s">
        <v>4039</v>
      </c>
      <c r="H63" s="291"/>
      <c r="I63" s="825"/>
      <c r="J63" s="917"/>
      <c r="K63" s="942"/>
      <c r="M63" s="736"/>
      <c r="N63" s="536"/>
    </row>
    <row r="64" spans="1:14" s="443" customFormat="1" ht="19.5" customHeight="1">
      <c r="A64" s="722"/>
      <c r="B64" s="187"/>
      <c r="C64" s="286" t="s">
        <v>4259</v>
      </c>
      <c r="D64" s="190"/>
      <c r="E64" s="187"/>
      <c r="F64" s="296"/>
      <c r="G64" s="197" t="s">
        <v>4364</v>
      </c>
      <c r="H64" s="292"/>
      <c r="I64" s="339"/>
      <c r="J64" s="912"/>
      <c r="K64" s="943"/>
      <c r="M64" s="736"/>
      <c r="N64" s="536"/>
    </row>
    <row r="65" spans="1:14" s="443" customFormat="1" ht="18" customHeight="1" thickBot="1">
      <c r="A65" s="722"/>
      <c r="B65" s="187"/>
      <c r="C65" s="286"/>
      <c r="D65" s="366" t="s">
        <v>3867</v>
      </c>
      <c r="E65" s="187"/>
      <c r="F65" s="540"/>
      <c r="G65" s="475" t="s">
        <v>100</v>
      </c>
      <c r="H65" s="298"/>
      <c r="I65" s="826"/>
      <c r="J65" s="920"/>
      <c r="K65" s="943"/>
      <c r="M65" s="736"/>
      <c r="N65" s="536"/>
    </row>
    <row r="66" spans="1:14" s="443" customFormat="1" ht="17.25" customHeight="1" thickBot="1">
      <c r="A66" s="722"/>
      <c r="B66" s="187"/>
      <c r="C66" s="289" t="s">
        <v>4259</v>
      </c>
      <c r="D66" s="366" t="s">
        <v>3867</v>
      </c>
      <c r="E66" s="187">
        <v>28</v>
      </c>
      <c r="F66" s="540">
        <v>423</v>
      </c>
      <c r="G66" s="739" t="s">
        <v>4313</v>
      </c>
      <c r="H66" s="738">
        <v>290000</v>
      </c>
      <c r="I66" s="827">
        <v>280000</v>
      </c>
      <c r="J66" s="921">
        <f>H66-I66</f>
        <v>10000</v>
      </c>
      <c r="K66" s="946">
        <v>96.55</v>
      </c>
      <c r="M66" s="736"/>
      <c r="N66" s="536"/>
    </row>
    <row r="67" spans="1:14" s="443" customFormat="1" ht="18.75" customHeight="1">
      <c r="A67" s="722"/>
      <c r="B67" s="187"/>
      <c r="C67" s="289" t="s">
        <v>4259</v>
      </c>
      <c r="D67" s="366" t="s">
        <v>3867</v>
      </c>
      <c r="E67" s="187">
        <v>29</v>
      </c>
      <c r="F67" s="737">
        <v>426</v>
      </c>
      <c r="G67" s="740" t="s">
        <v>4579</v>
      </c>
      <c r="H67" s="741">
        <v>130000</v>
      </c>
      <c r="I67" s="828">
        <v>128494</v>
      </c>
      <c r="J67" s="594">
        <f>H67-I67</f>
        <v>1506</v>
      </c>
      <c r="K67" s="947">
        <v>98.84</v>
      </c>
      <c r="M67" s="736"/>
      <c r="N67" s="536"/>
    </row>
    <row r="68" spans="1:14" s="443" customFormat="1" ht="17.25" customHeight="1">
      <c r="A68" s="722"/>
      <c r="B68" s="187"/>
      <c r="C68" s="289" t="s">
        <v>4259</v>
      </c>
      <c r="D68" s="366" t="s">
        <v>3867</v>
      </c>
      <c r="E68" s="187">
        <v>30</v>
      </c>
      <c r="F68" s="742">
        <v>472</v>
      </c>
      <c r="G68" s="743" t="s">
        <v>4716</v>
      </c>
      <c r="H68" s="741">
        <v>4200000</v>
      </c>
      <c r="I68" s="829">
        <v>3951803.26</v>
      </c>
      <c r="J68" s="594">
        <f t="shared" ref="J68:J69" si="4">H68-I68</f>
        <v>248196.74000000022</v>
      </c>
      <c r="K68" s="947">
        <v>94.09</v>
      </c>
      <c r="M68" s="736"/>
      <c r="N68" s="536"/>
    </row>
    <row r="69" spans="1:14" s="443" customFormat="1" ht="34.5" customHeight="1" thickBot="1">
      <c r="A69" s="722"/>
      <c r="B69" s="187"/>
      <c r="C69" s="289" t="s">
        <v>4259</v>
      </c>
      <c r="D69" s="366" t="s">
        <v>3867</v>
      </c>
      <c r="E69" s="187">
        <v>31</v>
      </c>
      <c r="F69" s="968">
        <v>481</v>
      </c>
      <c r="G69" s="744" t="s">
        <v>4622</v>
      </c>
      <c r="H69" s="969">
        <v>1000000</v>
      </c>
      <c r="I69" s="838">
        <v>500000</v>
      </c>
      <c r="J69" s="594">
        <f t="shared" si="4"/>
        <v>500000</v>
      </c>
      <c r="K69" s="970">
        <v>50</v>
      </c>
      <c r="M69" s="736"/>
      <c r="N69" s="536"/>
    </row>
    <row r="70" spans="1:14" s="443" customFormat="1" ht="33.75" customHeight="1" thickBot="1">
      <c r="A70" s="722"/>
      <c r="B70" s="187"/>
      <c r="C70" s="289"/>
      <c r="D70" s="366"/>
      <c r="E70" s="187"/>
      <c r="F70" s="1248" t="s">
        <v>4586</v>
      </c>
      <c r="G70" s="1249"/>
      <c r="H70" s="405">
        <f>SUM(H66:H69)</f>
        <v>5620000</v>
      </c>
      <c r="I70" s="591">
        <f>SUM(I66:I69)</f>
        <v>4860297.26</v>
      </c>
      <c r="J70" s="922">
        <f>SUM(J66:J69)</f>
        <v>759702.74000000022</v>
      </c>
      <c r="K70" s="971">
        <f>I70/H70*100</f>
        <v>86.482157651245544</v>
      </c>
      <c r="M70" s="736"/>
      <c r="N70" s="536"/>
    </row>
    <row r="71" spans="1:14" s="443" customFormat="1" ht="12.75" customHeight="1" thickBot="1">
      <c r="A71" s="745"/>
      <c r="B71" s="346"/>
      <c r="C71" s="441"/>
      <c r="D71" s="327"/>
      <c r="E71" s="327"/>
      <c r="F71" s="657"/>
      <c r="G71" s="308"/>
      <c r="H71" s="748"/>
      <c r="I71" s="830"/>
      <c r="J71" s="1252"/>
      <c r="K71" s="1253"/>
      <c r="M71" s="736"/>
      <c r="N71" s="536"/>
    </row>
    <row r="72" spans="1:14" s="443" customFormat="1" ht="19.5" customHeight="1">
      <c r="A72" s="722"/>
      <c r="B72" s="187"/>
      <c r="C72" s="286" t="s">
        <v>4421</v>
      </c>
      <c r="D72" s="190"/>
      <c r="E72" s="723"/>
      <c r="F72" s="539"/>
      <c r="G72" s="294" t="s">
        <v>4477</v>
      </c>
      <c r="H72" s="291"/>
      <c r="I72" s="825"/>
      <c r="J72" s="916"/>
      <c r="K72" s="942"/>
      <c r="M72" s="736"/>
      <c r="N72" s="536"/>
    </row>
    <row r="73" spans="1:14" s="443" customFormat="1" ht="19.5" customHeight="1" thickBot="1">
      <c r="A73" s="722"/>
      <c r="B73" s="187"/>
      <c r="C73" s="286"/>
      <c r="D73" s="366" t="s">
        <v>3867</v>
      </c>
      <c r="E73" s="723"/>
      <c r="F73" s="296"/>
      <c r="G73" s="193" t="s">
        <v>4593</v>
      </c>
      <c r="H73" s="292"/>
      <c r="I73" s="339"/>
      <c r="J73" s="912"/>
      <c r="K73" s="945"/>
      <c r="M73" s="736"/>
      <c r="N73" s="536"/>
    </row>
    <row r="74" spans="1:14" s="443" customFormat="1" ht="16.5" customHeight="1" thickBot="1">
      <c r="A74" s="722"/>
      <c r="B74" s="187"/>
      <c r="C74" s="289" t="s">
        <v>4421</v>
      </c>
      <c r="D74" s="366" t="s">
        <v>3867</v>
      </c>
      <c r="E74" s="723">
        <v>32</v>
      </c>
      <c r="F74" s="462">
        <v>472</v>
      </c>
      <c r="G74" s="407" t="s">
        <v>4626</v>
      </c>
      <c r="H74" s="418">
        <v>4300000</v>
      </c>
      <c r="I74" s="830">
        <v>3300000</v>
      </c>
      <c r="J74" s="930">
        <f>H74-I74</f>
        <v>1000000</v>
      </c>
      <c r="K74" s="944">
        <v>76.739999999999995</v>
      </c>
      <c r="M74" s="736"/>
      <c r="N74" s="536"/>
    </row>
    <row r="75" spans="1:14" s="443" customFormat="1" ht="32.25" customHeight="1" thickBot="1">
      <c r="A75" s="722"/>
      <c r="B75" s="187"/>
      <c r="C75" s="286"/>
      <c r="D75" s="190"/>
      <c r="E75" s="723"/>
      <c r="F75" s="1248" t="s">
        <v>4587</v>
      </c>
      <c r="G75" s="1249"/>
      <c r="H75" s="344">
        <f>SUM(H74)</f>
        <v>4300000</v>
      </c>
      <c r="I75" s="831">
        <f>SUM(I74)</f>
        <v>3300000</v>
      </c>
      <c r="J75" s="923">
        <f>SUM(J74)</f>
        <v>1000000</v>
      </c>
      <c r="K75" s="972">
        <v>51.62</v>
      </c>
      <c r="M75" s="736"/>
      <c r="N75" s="536"/>
    </row>
    <row r="76" spans="1:14" s="443" customFormat="1" ht="11.25" customHeight="1" thickBot="1">
      <c r="A76" s="762"/>
      <c r="B76" s="763"/>
      <c r="C76" s="764"/>
      <c r="D76" s="765"/>
      <c r="E76" s="763"/>
      <c r="F76" s="766"/>
      <c r="G76" s="767"/>
      <c r="H76" s="768"/>
      <c r="I76" s="832"/>
      <c r="J76" s="1258"/>
      <c r="K76" s="1259"/>
      <c r="L76" s="769"/>
      <c r="M76" s="770"/>
      <c r="N76" s="536"/>
    </row>
    <row r="77" spans="1:14" s="443" customFormat="1" ht="32.25" customHeight="1">
      <c r="A77" s="440"/>
      <c r="B77" s="327"/>
      <c r="C77" s="345" t="s">
        <v>4182</v>
      </c>
      <c r="D77" s="327"/>
      <c r="E77" s="327"/>
      <c r="F77" s="491"/>
      <c r="G77" s="489" t="s">
        <v>4662</v>
      </c>
      <c r="H77" s="477"/>
      <c r="I77" s="635"/>
      <c r="J77" s="924"/>
      <c r="K77" s="942"/>
      <c r="M77" s="736"/>
      <c r="N77" s="536"/>
    </row>
    <row r="78" spans="1:14" s="443" customFormat="1" ht="15" customHeight="1" thickBot="1">
      <c r="A78" s="440"/>
      <c r="B78" s="327"/>
      <c r="C78" s="441"/>
      <c r="D78" s="366" t="s">
        <v>3867</v>
      </c>
      <c r="E78" s="502"/>
      <c r="F78" s="452"/>
      <c r="G78" s="772" t="s">
        <v>100</v>
      </c>
      <c r="H78" s="476"/>
      <c r="I78" s="634"/>
      <c r="J78" s="925"/>
      <c r="K78" s="943"/>
      <c r="M78" s="736"/>
      <c r="N78" s="536"/>
    </row>
    <row r="79" spans="1:14" s="443" customFormat="1" ht="18" customHeight="1">
      <c r="A79" s="760"/>
      <c r="B79" s="187"/>
      <c r="C79" s="441" t="s">
        <v>4182</v>
      </c>
      <c r="D79" s="366" t="s">
        <v>3867</v>
      </c>
      <c r="E79" s="771" t="s">
        <v>4660</v>
      </c>
      <c r="F79" s="462">
        <v>511</v>
      </c>
      <c r="G79" s="775" t="s">
        <v>4665</v>
      </c>
      <c r="H79" s="585">
        <v>16300000</v>
      </c>
      <c r="I79" s="833">
        <v>0</v>
      </c>
      <c r="J79" s="926">
        <f>H79-I79</f>
        <v>16300000</v>
      </c>
      <c r="K79" s="946">
        <v>0</v>
      </c>
      <c r="M79" s="736"/>
      <c r="N79" s="536"/>
    </row>
    <row r="80" spans="1:14" s="443" customFormat="1" ht="19.5" customHeight="1">
      <c r="A80" s="760"/>
      <c r="B80" s="187"/>
      <c r="C80" s="441" t="s">
        <v>4182</v>
      </c>
      <c r="D80" s="366" t="s">
        <v>3867</v>
      </c>
      <c r="E80" s="771" t="s">
        <v>4661</v>
      </c>
      <c r="F80" s="773">
        <v>512</v>
      </c>
      <c r="G80" s="776" t="s">
        <v>4036</v>
      </c>
      <c r="H80" s="586">
        <v>2800000</v>
      </c>
      <c r="I80" s="834">
        <v>0</v>
      </c>
      <c r="J80" s="927">
        <f>H80-I80</f>
        <v>2800000</v>
      </c>
      <c r="K80" s="947">
        <v>0</v>
      </c>
      <c r="M80" s="736"/>
      <c r="N80" s="536"/>
    </row>
    <row r="81" spans="1:14" s="443" customFormat="1" ht="19.5" customHeight="1">
      <c r="A81" s="1167"/>
      <c r="B81" s="1168"/>
      <c r="C81" s="441" t="s">
        <v>4182</v>
      </c>
      <c r="D81" s="366" t="s">
        <v>3867</v>
      </c>
      <c r="E81" s="771" t="s">
        <v>4717</v>
      </c>
      <c r="F81" s="580">
        <v>423</v>
      </c>
      <c r="G81" s="779" t="s">
        <v>3773</v>
      </c>
      <c r="H81" s="588">
        <v>180000</v>
      </c>
      <c r="I81" s="835">
        <v>165800</v>
      </c>
      <c r="J81" s="927">
        <f>H81-I81</f>
        <v>14200</v>
      </c>
      <c r="K81" s="1169">
        <v>92.11</v>
      </c>
      <c r="M81" s="736"/>
      <c r="N81" s="536"/>
    </row>
    <row r="82" spans="1:14" s="443" customFormat="1" ht="20.25" customHeight="1">
      <c r="A82" s="760"/>
      <c r="B82" s="187"/>
      <c r="C82" s="441" t="s">
        <v>4182</v>
      </c>
      <c r="D82" s="366" t="s">
        <v>3867</v>
      </c>
      <c r="E82" s="771" t="s">
        <v>4663</v>
      </c>
      <c r="F82" s="580">
        <v>424</v>
      </c>
      <c r="G82" s="779" t="s">
        <v>3775</v>
      </c>
      <c r="H82" s="588">
        <v>2900000</v>
      </c>
      <c r="I82" s="835">
        <v>0</v>
      </c>
      <c r="J82" s="927">
        <f t="shared" ref="J82:J83" si="5">H82-I82</f>
        <v>2900000</v>
      </c>
      <c r="K82" s="947">
        <v>0</v>
      </c>
      <c r="M82" s="736"/>
      <c r="N82" s="536"/>
    </row>
    <row r="83" spans="1:14" s="443" customFormat="1" ht="32.25" customHeight="1" thickBot="1">
      <c r="A83" s="760"/>
      <c r="B83" s="187"/>
      <c r="C83" s="441" t="s">
        <v>4182</v>
      </c>
      <c r="D83" s="366" t="s">
        <v>3867</v>
      </c>
      <c r="E83" s="442" t="s">
        <v>4669</v>
      </c>
      <c r="F83" s="774">
        <v>464</v>
      </c>
      <c r="G83" s="777" t="s">
        <v>4664</v>
      </c>
      <c r="H83" s="778">
        <v>500000</v>
      </c>
      <c r="I83" s="836">
        <v>0</v>
      </c>
      <c r="J83" s="928">
        <f t="shared" si="5"/>
        <v>500000</v>
      </c>
      <c r="K83" s="948">
        <v>0</v>
      </c>
      <c r="M83" s="736"/>
      <c r="N83" s="536"/>
    </row>
    <row r="84" spans="1:14" s="443" customFormat="1" ht="52.5" customHeight="1" thickBot="1">
      <c r="A84" s="760"/>
      <c r="B84" s="187"/>
      <c r="C84" s="441"/>
      <c r="D84" s="187"/>
      <c r="E84" s="187"/>
      <c r="F84" s="1237" t="s">
        <v>4728</v>
      </c>
      <c r="G84" s="1238"/>
      <c r="H84" s="405">
        <f>SUM(H76:H83)</f>
        <v>22680000</v>
      </c>
      <c r="I84" s="591">
        <f>SUM(I76:I83)</f>
        <v>165800</v>
      </c>
      <c r="J84" s="349">
        <f>SUM(J76:J83)</f>
        <v>22514200</v>
      </c>
      <c r="K84" s="972">
        <v>0.73</v>
      </c>
      <c r="M84" s="736"/>
      <c r="N84" s="536"/>
    </row>
    <row r="85" spans="1:14" s="443" customFormat="1" ht="12.75" customHeight="1" thickBot="1">
      <c r="A85" s="440"/>
      <c r="B85" s="327"/>
      <c r="C85" s="441"/>
      <c r="D85" s="442"/>
      <c r="E85" s="327"/>
      <c r="F85" s="562"/>
      <c r="G85" s="621"/>
      <c r="H85" s="638"/>
      <c r="I85" s="837"/>
      <c r="J85" s="1260"/>
      <c r="K85" s="1261"/>
      <c r="M85" s="736"/>
      <c r="N85" s="536"/>
    </row>
    <row r="86" spans="1:14" s="443" customFormat="1" ht="18" customHeight="1">
      <c r="A86" s="722"/>
      <c r="B86" s="187"/>
      <c r="C86" s="286" t="s">
        <v>3981</v>
      </c>
      <c r="D86" s="190"/>
      <c r="E86" s="187"/>
      <c r="F86" s="539"/>
      <c r="G86" s="294" t="s">
        <v>4470</v>
      </c>
      <c r="H86" s="291"/>
      <c r="I86" s="825"/>
      <c r="J86" s="916"/>
      <c r="K86" s="942"/>
      <c r="M86" s="736"/>
      <c r="N86" s="536"/>
    </row>
    <row r="87" spans="1:14" s="443" customFormat="1" ht="31.5" customHeight="1" thickBot="1">
      <c r="A87" s="722"/>
      <c r="B87" s="187"/>
      <c r="C87" s="289"/>
      <c r="D87" s="366" t="s">
        <v>3873</v>
      </c>
      <c r="E87" s="187"/>
      <c r="F87" s="296"/>
      <c r="G87" s="193" t="s">
        <v>4255</v>
      </c>
      <c r="H87" s="292"/>
      <c r="I87" s="339"/>
      <c r="J87" s="912"/>
      <c r="K87" s="943"/>
      <c r="M87" s="736"/>
      <c r="N87" s="536"/>
    </row>
    <row r="88" spans="1:14" s="443" customFormat="1" ht="20.25" customHeight="1">
      <c r="A88" s="722"/>
      <c r="B88" s="187"/>
      <c r="C88" s="289" t="s">
        <v>3981</v>
      </c>
      <c r="D88" s="366" t="s">
        <v>3873</v>
      </c>
      <c r="E88" s="187">
        <v>33</v>
      </c>
      <c r="F88" s="976">
        <v>4632</v>
      </c>
      <c r="G88" s="979" t="s">
        <v>4277</v>
      </c>
      <c r="H88" s="982">
        <v>500000</v>
      </c>
      <c r="I88" s="593">
        <v>0</v>
      </c>
      <c r="J88" s="413">
        <f>H88-I88</f>
        <v>500000</v>
      </c>
      <c r="K88" s="973">
        <v>0</v>
      </c>
      <c r="M88" s="736"/>
      <c r="N88" s="536"/>
    </row>
    <row r="89" spans="1:14" s="443" customFormat="1" ht="19.5" customHeight="1">
      <c r="A89" s="722"/>
      <c r="B89" s="187"/>
      <c r="C89" s="289" t="s">
        <v>3981</v>
      </c>
      <c r="D89" s="366" t="s">
        <v>3873</v>
      </c>
      <c r="E89" s="187">
        <v>34</v>
      </c>
      <c r="F89" s="977">
        <v>4631</v>
      </c>
      <c r="G89" s="980" t="s">
        <v>4463</v>
      </c>
      <c r="H89" s="983">
        <v>8300000</v>
      </c>
      <c r="I89" s="644">
        <v>5593432.8499999996</v>
      </c>
      <c r="J89" s="954">
        <f>H89-I89</f>
        <v>2706567.1500000004</v>
      </c>
      <c r="K89" s="974">
        <v>67.39</v>
      </c>
      <c r="M89" s="736"/>
      <c r="N89" s="536"/>
    </row>
    <row r="90" spans="1:14" s="443" customFormat="1" ht="18" customHeight="1">
      <c r="A90" s="722"/>
      <c r="B90" s="187"/>
      <c r="C90" s="289" t="s">
        <v>3981</v>
      </c>
      <c r="D90" s="366" t="s">
        <v>3873</v>
      </c>
      <c r="E90" s="187">
        <v>35</v>
      </c>
      <c r="F90" s="977">
        <v>4632</v>
      </c>
      <c r="G90" s="980" t="s">
        <v>4464</v>
      </c>
      <c r="H90" s="983">
        <v>250000</v>
      </c>
      <c r="I90" s="644">
        <v>0</v>
      </c>
      <c r="J90" s="954">
        <f t="shared" ref="J90:J92" si="6">H90-I90</f>
        <v>250000</v>
      </c>
      <c r="K90" s="974">
        <v>0</v>
      </c>
      <c r="M90" s="736"/>
      <c r="N90" s="536"/>
    </row>
    <row r="91" spans="1:14" s="443" customFormat="1" ht="15.75" customHeight="1">
      <c r="A91" s="722"/>
      <c r="B91" s="187"/>
      <c r="C91" s="289" t="s">
        <v>3981</v>
      </c>
      <c r="D91" s="366" t="s">
        <v>3873</v>
      </c>
      <c r="E91" s="187">
        <v>36</v>
      </c>
      <c r="F91" s="977">
        <v>472</v>
      </c>
      <c r="G91" s="980" t="s">
        <v>4258</v>
      </c>
      <c r="H91" s="983">
        <v>300000</v>
      </c>
      <c r="I91" s="644">
        <v>0</v>
      </c>
      <c r="J91" s="954">
        <f t="shared" si="6"/>
        <v>300000</v>
      </c>
      <c r="K91" s="974">
        <v>0</v>
      </c>
      <c r="M91" s="736"/>
      <c r="N91" s="536"/>
    </row>
    <row r="92" spans="1:14" s="443" customFormat="1" ht="18.75" customHeight="1" thickBot="1">
      <c r="A92" s="722"/>
      <c r="B92" s="187"/>
      <c r="C92" s="289" t="s">
        <v>3981</v>
      </c>
      <c r="D92" s="366" t="s">
        <v>3873</v>
      </c>
      <c r="E92" s="187">
        <v>37</v>
      </c>
      <c r="F92" s="978">
        <v>481</v>
      </c>
      <c r="G92" s="981" t="s">
        <v>4621</v>
      </c>
      <c r="H92" s="984">
        <v>5000000</v>
      </c>
      <c r="I92" s="929">
        <v>5000000</v>
      </c>
      <c r="J92" s="954">
        <f t="shared" si="6"/>
        <v>0</v>
      </c>
      <c r="K92" s="975">
        <v>100</v>
      </c>
      <c r="M92" s="736"/>
      <c r="N92" s="536"/>
    </row>
    <row r="93" spans="1:14" s="443" customFormat="1" ht="67.5" customHeight="1" thickBot="1">
      <c r="A93" s="722"/>
      <c r="B93" s="187"/>
      <c r="C93" s="289"/>
      <c r="D93" s="366"/>
      <c r="E93" s="187"/>
      <c r="F93" s="1237" t="s">
        <v>4729</v>
      </c>
      <c r="G93" s="1238"/>
      <c r="H93" s="405">
        <f>SUM(H88:H92)</f>
        <v>14350000</v>
      </c>
      <c r="I93" s="591">
        <f>SUM(I88:I92)</f>
        <v>10593432.85</v>
      </c>
      <c r="J93" s="922">
        <f>SUM(J88:J92)</f>
        <v>3756567.1500000004</v>
      </c>
      <c r="K93" s="972">
        <f>I93/H93*100</f>
        <v>73.821831707317074</v>
      </c>
      <c r="M93" s="736"/>
      <c r="N93" s="536"/>
    </row>
    <row r="94" spans="1:14" s="443" customFormat="1" ht="12" customHeight="1" thickBot="1">
      <c r="A94" s="745"/>
      <c r="B94" s="346"/>
      <c r="C94" s="441"/>
      <c r="D94" s="327"/>
      <c r="E94" s="327"/>
      <c r="F94" s="657"/>
      <c r="G94" s="308"/>
      <c r="H94" s="748"/>
      <c r="I94" s="830"/>
      <c r="J94" s="1252"/>
      <c r="K94" s="1253"/>
      <c r="M94" s="736"/>
      <c r="N94" s="536"/>
    </row>
    <row r="95" spans="1:14" s="443" customFormat="1" ht="18.75" customHeight="1">
      <c r="A95" s="440"/>
      <c r="B95" s="327"/>
      <c r="C95" s="345" t="s">
        <v>3983</v>
      </c>
      <c r="D95" s="442"/>
      <c r="E95" s="327"/>
      <c r="F95" s="539"/>
      <c r="G95" s="434" t="s">
        <v>4474</v>
      </c>
      <c r="H95" s="291"/>
      <c r="I95" s="825"/>
      <c r="J95" s="916"/>
      <c r="K95" s="942"/>
      <c r="M95" s="736"/>
      <c r="N95" s="536"/>
    </row>
    <row r="96" spans="1:14" s="443" customFormat="1" ht="30.75" customHeight="1" thickBot="1">
      <c r="A96" s="440"/>
      <c r="B96" s="327"/>
      <c r="C96" s="441"/>
      <c r="D96" s="442" t="s">
        <v>3873</v>
      </c>
      <c r="E96" s="327"/>
      <c r="F96" s="472"/>
      <c r="G96" s="436" t="s">
        <v>4255</v>
      </c>
      <c r="H96" s="298"/>
      <c r="I96" s="826"/>
      <c r="J96" s="920"/>
      <c r="K96" s="945"/>
      <c r="M96" s="736"/>
      <c r="N96" s="536"/>
    </row>
    <row r="97" spans="1:14" s="443" customFormat="1" ht="18" customHeight="1" thickBot="1">
      <c r="A97" s="440"/>
      <c r="B97" s="327"/>
      <c r="C97" s="441" t="s">
        <v>3983</v>
      </c>
      <c r="D97" s="442" t="s">
        <v>3873</v>
      </c>
      <c r="E97" s="327">
        <v>38</v>
      </c>
      <c r="F97" s="962">
        <v>481</v>
      </c>
      <c r="G97" s="433" t="s">
        <v>4621</v>
      </c>
      <c r="H97" s="416">
        <v>5400000</v>
      </c>
      <c r="I97" s="864">
        <v>967033.5</v>
      </c>
      <c r="J97" s="935">
        <f>H97-I97</f>
        <v>4432966.5</v>
      </c>
      <c r="K97" s="944">
        <v>17.899999999999999</v>
      </c>
      <c r="M97" s="736"/>
      <c r="N97" s="536"/>
    </row>
    <row r="98" spans="1:14" s="443" customFormat="1" ht="58.5" customHeight="1" thickBot="1">
      <c r="A98" s="440"/>
      <c r="B98" s="327"/>
      <c r="C98" s="441"/>
      <c r="D98" s="442"/>
      <c r="E98" s="327"/>
      <c r="F98" s="1309" t="s">
        <v>4730</v>
      </c>
      <c r="G98" s="1310"/>
      <c r="H98" s="344">
        <f>SUM(H97:H97)</f>
        <v>5400000</v>
      </c>
      <c r="I98" s="831">
        <f>SUM(I97:I97)</f>
        <v>967033.5</v>
      </c>
      <c r="J98" s="914">
        <f>SUM(J97:J97)</f>
        <v>4432966.5</v>
      </c>
      <c r="K98" s="972">
        <v>17.899999999999999</v>
      </c>
      <c r="M98" s="736"/>
      <c r="N98" s="536"/>
    </row>
    <row r="99" spans="1:14" s="443" customFormat="1" ht="14.25" customHeight="1" thickBot="1">
      <c r="A99" s="745"/>
      <c r="B99" s="346"/>
      <c r="C99" s="441"/>
      <c r="D99" s="327"/>
      <c r="E99" s="327"/>
      <c r="F99" s="657"/>
      <c r="G99" s="308"/>
      <c r="H99" s="748"/>
      <c r="I99" s="830"/>
      <c r="J99" s="1252"/>
      <c r="K99" s="1253"/>
      <c r="M99" s="736"/>
      <c r="N99" s="536"/>
    </row>
    <row r="100" spans="1:14" s="443" customFormat="1" ht="33" customHeight="1">
      <c r="A100" s="722"/>
      <c r="B100" s="187"/>
      <c r="C100" s="286" t="s">
        <v>3986</v>
      </c>
      <c r="D100" s="190"/>
      <c r="E100" s="723"/>
      <c r="F100" s="539"/>
      <c r="G100" s="294" t="s">
        <v>4398</v>
      </c>
      <c r="H100" s="291"/>
      <c r="I100" s="825"/>
      <c r="J100" s="916"/>
      <c r="K100" s="942"/>
      <c r="M100" s="736"/>
      <c r="N100" s="536"/>
    </row>
    <row r="101" spans="1:14" s="443" customFormat="1" ht="31.5" customHeight="1" thickBot="1">
      <c r="A101" s="722"/>
      <c r="B101" s="187"/>
      <c r="C101" s="286"/>
      <c r="D101" s="366" t="s">
        <v>3877</v>
      </c>
      <c r="E101" s="723"/>
      <c r="F101" s="296"/>
      <c r="G101" s="193" t="s">
        <v>105</v>
      </c>
      <c r="H101" s="292"/>
      <c r="I101" s="339"/>
      <c r="J101" s="912"/>
      <c r="K101" s="945"/>
      <c r="M101" s="736"/>
      <c r="N101" s="536"/>
    </row>
    <row r="102" spans="1:14" s="443" customFormat="1" ht="16.5" customHeight="1" thickBot="1">
      <c r="A102" s="722"/>
      <c r="B102" s="187"/>
      <c r="C102" s="289" t="s">
        <v>3986</v>
      </c>
      <c r="D102" s="366" t="s">
        <v>3877</v>
      </c>
      <c r="E102" s="723">
        <v>39</v>
      </c>
      <c r="F102" s="451">
        <v>481</v>
      </c>
      <c r="G102" s="409" t="s">
        <v>4257</v>
      </c>
      <c r="H102" s="418">
        <v>5300000</v>
      </c>
      <c r="I102" s="830">
        <v>3816085.84</v>
      </c>
      <c r="J102" s="930">
        <f>H102-I102</f>
        <v>1483914.1600000001</v>
      </c>
      <c r="K102" s="944">
        <v>72</v>
      </c>
      <c r="M102" s="736"/>
      <c r="N102" s="536"/>
    </row>
    <row r="103" spans="1:14" s="443" customFormat="1" ht="36" customHeight="1" thickBot="1">
      <c r="A103" s="722"/>
      <c r="B103" s="187"/>
      <c r="C103" s="286"/>
      <c r="D103" s="190"/>
      <c r="E103" s="723"/>
      <c r="F103" s="1248" t="s">
        <v>4589</v>
      </c>
      <c r="G103" s="1249"/>
      <c r="H103" s="344">
        <f>SUM(H102)</f>
        <v>5300000</v>
      </c>
      <c r="I103" s="831">
        <f>SUM(I102)</f>
        <v>3816085.84</v>
      </c>
      <c r="J103" s="923">
        <f>SUM(J102)</f>
        <v>1483914.1600000001</v>
      </c>
      <c r="K103" s="972">
        <v>72</v>
      </c>
      <c r="M103" s="736"/>
      <c r="N103" s="536"/>
    </row>
    <row r="104" spans="1:14" s="443" customFormat="1" ht="9.75" customHeight="1" thickBot="1">
      <c r="A104" s="722"/>
      <c r="B104" s="187"/>
      <c r="C104" s="286"/>
      <c r="D104" s="190"/>
      <c r="E104" s="723"/>
      <c r="F104" s="187"/>
      <c r="G104" s="197"/>
      <c r="H104" s="250"/>
      <c r="I104" s="339"/>
      <c r="J104" s="1254"/>
      <c r="K104" s="1255"/>
      <c r="M104" s="736"/>
      <c r="N104" s="536"/>
    </row>
    <row r="105" spans="1:14" s="443" customFormat="1" ht="15" customHeight="1">
      <c r="A105" s="722"/>
      <c r="B105" s="187"/>
      <c r="C105" s="286" t="s">
        <v>4422</v>
      </c>
      <c r="D105" s="190"/>
      <c r="E105" s="723"/>
      <c r="F105" s="539"/>
      <c r="G105" s="294" t="s">
        <v>4475</v>
      </c>
      <c r="H105" s="291"/>
      <c r="I105" s="825"/>
      <c r="J105" s="916"/>
      <c r="K105" s="942"/>
      <c r="M105" s="736"/>
      <c r="N105" s="536"/>
    </row>
    <row r="106" spans="1:14" s="443" customFormat="1" ht="33.75" customHeight="1" thickBot="1">
      <c r="A106" s="722"/>
      <c r="B106" s="187"/>
      <c r="C106" s="286"/>
      <c r="D106" s="366" t="s">
        <v>3877</v>
      </c>
      <c r="E106" s="723"/>
      <c r="F106" s="296"/>
      <c r="G106" s="193" t="s">
        <v>105</v>
      </c>
      <c r="H106" s="292"/>
      <c r="I106" s="339"/>
      <c r="J106" s="912"/>
      <c r="K106" s="943"/>
      <c r="M106" s="736"/>
      <c r="N106" s="536"/>
    </row>
    <row r="107" spans="1:14" s="443" customFormat="1" ht="31.5" customHeight="1">
      <c r="A107" s="722"/>
      <c r="B107" s="187"/>
      <c r="C107" s="289" t="s">
        <v>4422</v>
      </c>
      <c r="D107" s="366" t="s">
        <v>3877</v>
      </c>
      <c r="E107" s="187">
        <v>40</v>
      </c>
      <c r="F107" s="406">
        <v>472</v>
      </c>
      <c r="G107" s="407" t="s">
        <v>4580</v>
      </c>
      <c r="H107" s="404">
        <v>1500000</v>
      </c>
      <c r="I107" s="413">
        <v>900030</v>
      </c>
      <c r="J107" s="593">
        <f>H107-I107</f>
        <v>599970</v>
      </c>
      <c r="K107" s="946">
        <v>60</v>
      </c>
      <c r="M107" s="736"/>
      <c r="N107" s="536"/>
    </row>
    <row r="108" spans="1:14" s="443" customFormat="1" ht="17.25" customHeight="1" thickBot="1">
      <c r="A108" s="722"/>
      <c r="B108" s="187"/>
      <c r="C108" s="289" t="s">
        <v>4422</v>
      </c>
      <c r="D108" s="366" t="s">
        <v>3877</v>
      </c>
      <c r="E108" s="187">
        <v>41</v>
      </c>
      <c r="F108" s="746">
        <v>481</v>
      </c>
      <c r="G108" s="744" t="s">
        <v>4476</v>
      </c>
      <c r="H108" s="747">
        <v>1500000</v>
      </c>
      <c r="I108" s="838">
        <v>1000000</v>
      </c>
      <c r="J108" s="929">
        <f>H108-I108</f>
        <v>500000</v>
      </c>
      <c r="K108" s="948">
        <v>66.66</v>
      </c>
      <c r="M108" s="736"/>
      <c r="N108" s="536"/>
    </row>
    <row r="109" spans="1:14" s="443" customFormat="1" ht="33.75" customHeight="1" thickBot="1">
      <c r="A109" s="722"/>
      <c r="B109" s="187"/>
      <c r="C109" s="286"/>
      <c r="D109" s="190"/>
      <c r="E109" s="723"/>
      <c r="F109" s="1248" t="s">
        <v>4588</v>
      </c>
      <c r="G109" s="1249"/>
      <c r="H109" s="405">
        <f>H107+H108</f>
        <v>3000000</v>
      </c>
      <c r="I109" s="591">
        <f>I107+I108</f>
        <v>1900030</v>
      </c>
      <c r="J109" s="922">
        <f>J107+J108</f>
        <v>1099970</v>
      </c>
      <c r="K109" s="972">
        <f>I109/H109*100</f>
        <v>63.334333333333333</v>
      </c>
      <c r="M109" s="736"/>
      <c r="N109" s="536"/>
    </row>
    <row r="110" spans="1:14" s="443" customFormat="1" ht="81.75" customHeight="1" thickBot="1">
      <c r="A110" s="271"/>
      <c r="B110" s="274"/>
      <c r="C110" s="300"/>
      <c r="D110" s="301"/>
      <c r="E110" s="275"/>
      <c r="F110" s="1293" t="s">
        <v>4731</v>
      </c>
      <c r="G110" s="1294"/>
      <c r="H110" s="342">
        <f>H70+H75+H84+H93+H98+H103+H109</f>
        <v>60650000</v>
      </c>
      <c r="I110" s="839">
        <f>I70+I75+I84+I93+I98+I103+I109</f>
        <v>25602679.449999999</v>
      </c>
      <c r="J110" s="931">
        <f>J70+J75+J84+J93+J98+J103+J109</f>
        <v>35047320.549999997</v>
      </c>
      <c r="K110" s="985">
        <f>I110/H110*100</f>
        <v>42.21381607584501</v>
      </c>
      <c r="M110" s="736"/>
      <c r="N110" s="536"/>
    </row>
    <row r="111" spans="1:14" s="443" customFormat="1" ht="12" customHeight="1" thickBot="1">
      <c r="A111" s="346"/>
      <c r="B111" s="346"/>
      <c r="C111" s="441"/>
      <c r="D111" s="327"/>
      <c r="E111" s="327"/>
      <c r="F111" s="327"/>
      <c r="G111" s="197"/>
      <c r="H111" s="335"/>
      <c r="I111" s="840"/>
      <c r="J111" s="1252"/>
      <c r="K111" s="1253"/>
      <c r="M111" s="736"/>
      <c r="N111" s="536"/>
    </row>
    <row r="112" spans="1:14" s="443" customFormat="1" ht="18" customHeight="1">
      <c r="A112" s="281"/>
      <c r="B112" s="282"/>
      <c r="C112" s="283" t="s">
        <v>4457</v>
      </c>
      <c r="D112" s="284"/>
      <c r="E112" s="282"/>
      <c r="F112" s="281"/>
      <c r="G112" s="434" t="s">
        <v>4458</v>
      </c>
      <c r="H112" s="305"/>
      <c r="I112" s="841"/>
      <c r="J112" s="844"/>
      <c r="K112" s="942"/>
      <c r="M112" s="736"/>
      <c r="N112" s="536"/>
    </row>
    <row r="113" spans="1:14" s="443" customFormat="1" ht="14.25" customHeight="1">
      <c r="A113" s="573"/>
      <c r="B113" s="187"/>
      <c r="C113" s="286" t="s">
        <v>4459</v>
      </c>
      <c r="D113" s="190"/>
      <c r="E113" s="187"/>
      <c r="F113" s="805"/>
      <c r="G113" s="435" t="s">
        <v>4471</v>
      </c>
      <c r="H113" s="306"/>
      <c r="I113" s="340"/>
      <c r="J113" s="845"/>
      <c r="K113" s="943"/>
      <c r="M113" s="736"/>
      <c r="N113" s="536"/>
    </row>
    <row r="114" spans="1:14" s="443" customFormat="1" ht="15.75" customHeight="1" thickBot="1">
      <c r="A114" s="573"/>
      <c r="B114" s="187"/>
      <c r="C114" s="286"/>
      <c r="D114" s="187">
        <v>131</v>
      </c>
      <c r="E114" s="187"/>
      <c r="F114" s="271"/>
      <c r="G114" s="436" t="s">
        <v>117</v>
      </c>
      <c r="H114" s="988"/>
      <c r="I114" s="850"/>
      <c r="J114" s="847"/>
      <c r="K114" s="943"/>
      <c r="M114" s="736"/>
      <c r="N114" s="536"/>
    </row>
    <row r="115" spans="1:14" s="443" customFormat="1" ht="17.25" customHeight="1">
      <c r="A115" s="573"/>
      <c r="B115" s="187"/>
      <c r="C115" s="289" t="s">
        <v>4459</v>
      </c>
      <c r="D115" s="187">
        <v>131</v>
      </c>
      <c r="E115" s="187">
        <v>42</v>
      </c>
      <c r="F115" s="516">
        <v>424</v>
      </c>
      <c r="G115" s="673" t="s">
        <v>3775</v>
      </c>
      <c r="H115" s="508">
        <v>0</v>
      </c>
      <c r="I115" s="986">
        <v>0</v>
      </c>
      <c r="J115" s="987">
        <f>H115-I115</f>
        <v>0</v>
      </c>
      <c r="K115" s="946">
        <v>0</v>
      </c>
      <c r="M115" s="736"/>
      <c r="N115" s="536"/>
    </row>
    <row r="116" spans="1:14" s="443" customFormat="1" ht="18" customHeight="1" thickBot="1">
      <c r="A116" s="573"/>
      <c r="B116" s="187"/>
      <c r="C116" s="289" t="s">
        <v>4459</v>
      </c>
      <c r="D116" s="187">
        <v>131</v>
      </c>
      <c r="E116" s="327">
        <v>43</v>
      </c>
      <c r="F116" s="581">
        <v>511</v>
      </c>
      <c r="G116" s="582" t="s">
        <v>4035</v>
      </c>
      <c r="H116" s="583">
        <v>5000000</v>
      </c>
      <c r="I116" s="842">
        <v>2263762</v>
      </c>
      <c r="J116" s="929">
        <f>H116-I116</f>
        <v>2736238</v>
      </c>
      <c r="K116" s="948">
        <v>45.27</v>
      </c>
      <c r="M116" s="736"/>
      <c r="N116" s="536"/>
    </row>
    <row r="117" spans="1:14" s="443" customFormat="1" ht="17.25" customHeight="1" thickBot="1">
      <c r="A117" s="573"/>
      <c r="B117" s="187"/>
      <c r="C117" s="286"/>
      <c r="D117" s="190"/>
      <c r="E117" s="574"/>
      <c r="F117" s="1267" t="s">
        <v>4460</v>
      </c>
      <c r="G117" s="1308"/>
      <c r="H117" s="405">
        <f>SUM(H115:H116)</f>
        <v>5000000</v>
      </c>
      <c r="I117" s="843">
        <f>SUM(I116)</f>
        <v>2263762</v>
      </c>
      <c r="J117" s="932">
        <f>SUM(J115:J116)</f>
        <v>2736238</v>
      </c>
      <c r="K117" s="964">
        <v>45.27</v>
      </c>
      <c r="M117" s="736"/>
      <c r="N117" s="536"/>
    </row>
    <row r="118" spans="1:14" s="443" customFormat="1" ht="47.25" customHeight="1" thickBot="1">
      <c r="A118" s="271"/>
      <c r="B118" s="274"/>
      <c r="C118" s="300"/>
      <c r="D118" s="301"/>
      <c r="E118" s="274"/>
      <c r="F118" s="1293" t="s">
        <v>4732</v>
      </c>
      <c r="G118" s="1294"/>
      <c r="H118" s="342">
        <f>H117</f>
        <v>5000000</v>
      </c>
      <c r="I118" s="839">
        <f>I117</f>
        <v>2263762</v>
      </c>
      <c r="J118" s="931">
        <f>J117</f>
        <v>2736238</v>
      </c>
      <c r="K118" s="985">
        <v>45.27</v>
      </c>
      <c r="M118" s="736"/>
      <c r="N118" s="536"/>
    </row>
    <row r="119" spans="1:14" s="443" customFormat="1" ht="10.5" customHeight="1" thickBot="1">
      <c r="A119" s="346"/>
      <c r="B119" s="346"/>
      <c r="C119" s="441"/>
      <c r="D119" s="327"/>
      <c r="E119" s="327"/>
      <c r="F119" s="327"/>
      <c r="G119" s="197"/>
      <c r="H119" s="335"/>
      <c r="I119" s="840"/>
      <c r="J119" s="840"/>
      <c r="K119" s="536"/>
      <c r="M119" s="736"/>
      <c r="N119" s="536"/>
    </row>
    <row r="120" spans="1:14" ht="28.5">
      <c r="A120" s="281"/>
      <c r="B120" s="282"/>
      <c r="C120" s="283" t="s">
        <v>3601</v>
      </c>
      <c r="D120" s="282"/>
      <c r="E120" s="282"/>
      <c r="F120" s="539"/>
      <c r="G120" s="303" t="s">
        <v>4397</v>
      </c>
      <c r="H120" s="291"/>
      <c r="I120" s="844"/>
      <c r="J120" s="844"/>
      <c r="K120" s="942"/>
      <c r="M120" s="736"/>
    </row>
    <row r="121" spans="1:14" ht="28.5">
      <c r="A121" s="805"/>
      <c r="B121" s="187"/>
      <c r="C121" s="195" t="s">
        <v>3995</v>
      </c>
      <c r="D121" s="187"/>
      <c r="E121" s="187"/>
      <c r="F121" s="296"/>
      <c r="G121" s="197" t="s">
        <v>3996</v>
      </c>
      <c r="H121" s="292"/>
      <c r="I121" s="845"/>
      <c r="J121" s="845"/>
      <c r="K121" s="943"/>
      <c r="M121" s="736"/>
    </row>
    <row r="122" spans="1:14" ht="15.75" thickBot="1">
      <c r="A122" s="805"/>
      <c r="B122" s="187"/>
      <c r="C122" s="320" t="s">
        <v>3995</v>
      </c>
      <c r="D122" s="187">
        <v>131</v>
      </c>
      <c r="E122" s="287"/>
      <c r="F122" s="297"/>
      <c r="G122" s="193" t="s">
        <v>4041</v>
      </c>
      <c r="H122" s="292"/>
      <c r="I122" s="845"/>
      <c r="J122" s="845"/>
      <c r="K122" s="943"/>
      <c r="M122" s="736"/>
    </row>
    <row r="123" spans="1:14">
      <c r="A123" s="805"/>
      <c r="B123" s="187"/>
      <c r="C123" s="320" t="s">
        <v>3995</v>
      </c>
      <c r="D123" s="187">
        <v>131</v>
      </c>
      <c r="E123" s="187">
        <v>44</v>
      </c>
      <c r="F123" s="550">
        <v>411</v>
      </c>
      <c r="G123" s="482" t="s">
        <v>4020</v>
      </c>
      <c r="H123" s="416">
        <v>54000000</v>
      </c>
      <c r="I123" s="864">
        <v>38634976.990000002</v>
      </c>
      <c r="J123" s="935">
        <f>H123-I123</f>
        <v>15365023.009999998</v>
      </c>
      <c r="K123" s="946">
        <f>I123/H123*100</f>
        <v>71.546253685185192</v>
      </c>
      <c r="M123" s="736"/>
    </row>
    <row r="124" spans="1:14">
      <c r="A124" s="805"/>
      <c r="B124" s="187"/>
      <c r="C124" s="320" t="s">
        <v>3995</v>
      </c>
      <c r="D124" s="187">
        <v>131</v>
      </c>
      <c r="E124" s="187">
        <v>45</v>
      </c>
      <c r="F124" s="991">
        <v>412</v>
      </c>
      <c r="G124" s="551" t="s">
        <v>3758</v>
      </c>
      <c r="H124" s="411">
        <v>9600000</v>
      </c>
      <c r="I124" s="954">
        <v>6907314.54</v>
      </c>
      <c r="J124" s="644">
        <f>H124-I124</f>
        <v>2692685.46</v>
      </c>
      <c r="K124" s="947">
        <f>I124/H124*100</f>
        <v>71.951193125000003</v>
      </c>
      <c r="M124" s="736"/>
    </row>
    <row r="125" spans="1:14">
      <c r="A125" s="805"/>
      <c r="B125" s="187"/>
      <c r="C125" s="320" t="s">
        <v>3995</v>
      </c>
      <c r="D125" s="187">
        <v>131</v>
      </c>
      <c r="E125" s="187">
        <v>46</v>
      </c>
      <c r="F125" s="991">
        <v>413</v>
      </c>
      <c r="G125" s="446" t="s">
        <v>4021</v>
      </c>
      <c r="H125" s="411">
        <v>450000</v>
      </c>
      <c r="I125" s="954">
        <v>26460</v>
      </c>
      <c r="J125" s="644">
        <f t="shared" ref="J125:J143" si="7">H125-I125</f>
        <v>423540</v>
      </c>
      <c r="K125" s="947">
        <f t="shared" ref="K125:K144" si="8">I125/H125*100</f>
        <v>5.88</v>
      </c>
      <c r="M125" s="736"/>
    </row>
    <row r="126" spans="1:14">
      <c r="A126" s="805"/>
      <c r="B126" s="187"/>
      <c r="C126" s="320" t="s">
        <v>3995</v>
      </c>
      <c r="D126" s="187">
        <v>131</v>
      </c>
      <c r="E126" s="187">
        <v>47</v>
      </c>
      <c r="F126" s="991">
        <v>414</v>
      </c>
      <c r="G126" s="446" t="s">
        <v>3761</v>
      </c>
      <c r="H126" s="411">
        <v>1000000</v>
      </c>
      <c r="I126" s="954">
        <v>291471</v>
      </c>
      <c r="J126" s="644">
        <f t="shared" si="7"/>
        <v>708529</v>
      </c>
      <c r="K126" s="947">
        <f t="shared" si="8"/>
        <v>29.147099999999998</v>
      </c>
      <c r="M126" s="736"/>
    </row>
    <row r="127" spans="1:14">
      <c r="A127" s="805"/>
      <c r="B127" s="187"/>
      <c r="C127" s="320" t="s">
        <v>3995</v>
      </c>
      <c r="D127" s="187">
        <v>131</v>
      </c>
      <c r="E127" s="187">
        <v>48</v>
      </c>
      <c r="F127" s="991">
        <v>415</v>
      </c>
      <c r="G127" s="446" t="s">
        <v>4028</v>
      </c>
      <c r="H127" s="411">
        <v>1300000</v>
      </c>
      <c r="I127" s="954">
        <v>899608.7</v>
      </c>
      <c r="J127" s="644">
        <f t="shared" si="7"/>
        <v>400391.30000000005</v>
      </c>
      <c r="K127" s="947">
        <f t="shared" si="8"/>
        <v>69.200669230769236</v>
      </c>
      <c r="M127" s="736"/>
    </row>
    <row r="128" spans="1:14">
      <c r="A128" s="805"/>
      <c r="B128" s="187"/>
      <c r="C128" s="320" t="s">
        <v>3995</v>
      </c>
      <c r="D128" s="187">
        <v>131</v>
      </c>
      <c r="E128" s="187">
        <v>49</v>
      </c>
      <c r="F128" s="991">
        <v>416</v>
      </c>
      <c r="G128" s="446" t="s">
        <v>4029</v>
      </c>
      <c r="H128" s="411">
        <v>850000</v>
      </c>
      <c r="I128" s="954">
        <v>372829.4</v>
      </c>
      <c r="J128" s="644">
        <f t="shared" si="7"/>
        <v>477170.6</v>
      </c>
      <c r="K128" s="947">
        <f t="shared" si="8"/>
        <v>43.862282352941179</v>
      </c>
      <c r="M128" s="736"/>
    </row>
    <row r="129" spans="1:13">
      <c r="A129" s="805"/>
      <c r="B129" s="187"/>
      <c r="C129" s="320" t="s">
        <v>3995</v>
      </c>
      <c r="D129" s="187">
        <v>131</v>
      </c>
      <c r="E129" s="187">
        <v>50</v>
      </c>
      <c r="F129" s="991">
        <v>421</v>
      </c>
      <c r="G129" s="446" t="s">
        <v>3771</v>
      </c>
      <c r="H129" s="411">
        <v>10000000</v>
      </c>
      <c r="I129" s="954">
        <v>6256427.4199999999</v>
      </c>
      <c r="J129" s="644">
        <f t="shared" si="7"/>
        <v>3743572.58</v>
      </c>
      <c r="K129" s="947">
        <f t="shared" si="8"/>
        <v>62.5642742</v>
      </c>
      <c r="M129" s="736"/>
    </row>
    <row r="130" spans="1:13">
      <c r="A130" s="805"/>
      <c r="B130" s="187"/>
      <c r="C130" s="320" t="s">
        <v>3995</v>
      </c>
      <c r="D130" s="187">
        <v>131</v>
      </c>
      <c r="E130" s="187">
        <v>51</v>
      </c>
      <c r="F130" s="991">
        <v>422</v>
      </c>
      <c r="G130" s="446" t="s">
        <v>3772</v>
      </c>
      <c r="H130" s="411">
        <v>1200000</v>
      </c>
      <c r="I130" s="954">
        <v>525130.29</v>
      </c>
      <c r="J130" s="644">
        <f t="shared" si="7"/>
        <v>674869.71</v>
      </c>
      <c r="K130" s="947">
        <f t="shared" si="8"/>
        <v>43.760857500000007</v>
      </c>
      <c r="M130" s="736"/>
    </row>
    <row r="131" spans="1:13">
      <c r="A131" s="805"/>
      <c r="B131" s="187"/>
      <c r="C131" s="320" t="s">
        <v>3995</v>
      </c>
      <c r="D131" s="187">
        <v>131</v>
      </c>
      <c r="E131" s="327">
        <v>52</v>
      </c>
      <c r="F131" s="991">
        <v>423</v>
      </c>
      <c r="G131" s="446" t="s">
        <v>3773</v>
      </c>
      <c r="H131" s="411">
        <v>12000000</v>
      </c>
      <c r="I131" s="954">
        <v>8801286.6699999999</v>
      </c>
      <c r="J131" s="644">
        <f t="shared" si="7"/>
        <v>3198713.33</v>
      </c>
      <c r="K131" s="947">
        <f t="shared" si="8"/>
        <v>73.344055583333329</v>
      </c>
      <c r="M131" s="736"/>
    </row>
    <row r="132" spans="1:13">
      <c r="A132" s="805"/>
      <c r="B132" s="187"/>
      <c r="C132" s="320" t="s">
        <v>3995</v>
      </c>
      <c r="D132" s="187">
        <v>131</v>
      </c>
      <c r="E132" s="327">
        <v>53</v>
      </c>
      <c r="F132" s="991">
        <v>424</v>
      </c>
      <c r="G132" s="446" t="s">
        <v>3775</v>
      </c>
      <c r="H132" s="411">
        <v>1300000</v>
      </c>
      <c r="I132" s="954">
        <v>768990.55</v>
      </c>
      <c r="J132" s="644">
        <f t="shared" si="7"/>
        <v>531009.44999999995</v>
      </c>
      <c r="K132" s="947">
        <f t="shared" si="8"/>
        <v>59.153119230769235</v>
      </c>
      <c r="M132" s="736"/>
    </row>
    <row r="133" spans="1:13">
      <c r="A133" s="805"/>
      <c r="B133" s="187"/>
      <c r="C133" s="320" t="s">
        <v>3995</v>
      </c>
      <c r="D133" s="187">
        <v>131</v>
      </c>
      <c r="E133" s="327">
        <v>54</v>
      </c>
      <c r="F133" s="991">
        <v>425</v>
      </c>
      <c r="G133" s="446" t="s">
        <v>4030</v>
      </c>
      <c r="H133" s="411">
        <v>2000000</v>
      </c>
      <c r="I133" s="954">
        <v>1512502.86</v>
      </c>
      <c r="J133" s="644">
        <f t="shared" si="7"/>
        <v>487497.1399999999</v>
      </c>
      <c r="K133" s="947">
        <f t="shared" si="8"/>
        <v>75.625143000000008</v>
      </c>
      <c r="M133" s="736"/>
    </row>
    <row r="134" spans="1:13">
      <c r="A134" s="805"/>
      <c r="B134" s="187"/>
      <c r="C134" s="320" t="s">
        <v>3995</v>
      </c>
      <c r="D134" s="187">
        <v>131</v>
      </c>
      <c r="E134" s="327">
        <v>55</v>
      </c>
      <c r="F134" s="991">
        <v>426</v>
      </c>
      <c r="G134" s="446" t="s">
        <v>3779</v>
      </c>
      <c r="H134" s="411">
        <v>6500000</v>
      </c>
      <c r="I134" s="954">
        <v>4636643.3499999996</v>
      </c>
      <c r="J134" s="644">
        <f t="shared" si="7"/>
        <v>1863356.6500000004</v>
      </c>
      <c r="K134" s="947">
        <f t="shared" si="8"/>
        <v>71.332974615384614</v>
      </c>
      <c r="M134" s="736"/>
    </row>
    <row r="135" spans="1:13">
      <c r="A135" s="805"/>
      <c r="B135" s="187"/>
      <c r="C135" s="749" t="s">
        <v>3995</v>
      </c>
      <c r="D135" s="327">
        <v>131</v>
      </c>
      <c r="E135" s="327">
        <v>56</v>
      </c>
      <c r="F135" s="991">
        <v>465</v>
      </c>
      <c r="G135" s="551" t="s">
        <v>4022</v>
      </c>
      <c r="H135" s="411">
        <v>6000000</v>
      </c>
      <c r="I135" s="992">
        <v>4067186.02</v>
      </c>
      <c r="J135" s="644">
        <f t="shared" si="7"/>
        <v>1932813.98</v>
      </c>
      <c r="K135" s="947">
        <f t="shared" si="8"/>
        <v>67.786433666666667</v>
      </c>
      <c r="M135" s="736"/>
    </row>
    <row r="136" spans="1:13">
      <c r="A136" s="805"/>
      <c r="B136" s="187"/>
      <c r="C136" s="320" t="s">
        <v>3995</v>
      </c>
      <c r="D136" s="187">
        <v>131</v>
      </c>
      <c r="E136" s="327">
        <v>57</v>
      </c>
      <c r="F136" s="991">
        <v>482</v>
      </c>
      <c r="G136" s="446" t="s">
        <v>4032</v>
      </c>
      <c r="H136" s="411">
        <v>1300000</v>
      </c>
      <c r="I136" s="954">
        <v>1139705.77</v>
      </c>
      <c r="J136" s="644">
        <f t="shared" si="7"/>
        <v>160294.22999999998</v>
      </c>
      <c r="K136" s="947">
        <f t="shared" si="8"/>
        <v>87.669674615384622</v>
      </c>
      <c r="M136" s="736"/>
    </row>
    <row r="137" spans="1:13">
      <c r="A137" s="805"/>
      <c r="B137" s="187"/>
      <c r="C137" s="320" t="s">
        <v>3995</v>
      </c>
      <c r="D137" s="187">
        <v>131</v>
      </c>
      <c r="E137" s="327">
        <v>58</v>
      </c>
      <c r="F137" s="991">
        <v>483</v>
      </c>
      <c r="G137" s="446" t="s">
        <v>4033</v>
      </c>
      <c r="H137" s="411">
        <v>3000000</v>
      </c>
      <c r="I137" s="954">
        <v>1411179.24</v>
      </c>
      <c r="J137" s="644">
        <f t="shared" si="7"/>
        <v>1588820.76</v>
      </c>
      <c r="K137" s="947">
        <f t="shared" si="8"/>
        <v>47.039308000000005</v>
      </c>
      <c r="M137" s="736"/>
    </row>
    <row r="138" spans="1:13" ht="30">
      <c r="A138" s="805"/>
      <c r="B138" s="187"/>
      <c r="C138" s="320" t="s">
        <v>3995</v>
      </c>
      <c r="D138" s="187">
        <v>131</v>
      </c>
      <c r="E138" s="327">
        <v>59</v>
      </c>
      <c r="F138" s="991">
        <v>484</v>
      </c>
      <c r="G138" s="446" t="s">
        <v>4034</v>
      </c>
      <c r="H138" s="411">
        <v>3000000</v>
      </c>
      <c r="I138" s="954">
        <v>2340000</v>
      </c>
      <c r="J138" s="644">
        <f t="shared" si="7"/>
        <v>660000</v>
      </c>
      <c r="K138" s="947">
        <f t="shared" si="8"/>
        <v>78</v>
      </c>
      <c r="M138" s="736"/>
    </row>
    <row r="139" spans="1:13">
      <c r="A139" s="805"/>
      <c r="B139" s="187"/>
      <c r="C139" s="320" t="s">
        <v>3995</v>
      </c>
      <c r="D139" s="187">
        <v>131</v>
      </c>
      <c r="E139" s="327">
        <v>60</v>
      </c>
      <c r="F139" s="991">
        <v>485</v>
      </c>
      <c r="G139" s="446" t="s">
        <v>4319</v>
      </c>
      <c r="H139" s="411">
        <v>500000</v>
      </c>
      <c r="I139" s="954">
        <v>98000</v>
      </c>
      <c r="J139" s="644">
        <f t="shared" si="7"/>
        <v>402000</v>
      </c>
      <c r="K139" s="947">
        <f t="shared" si="8"/>
        <v>19.600000000000001</v>
      </c>
      <c r="M139" s="736"/>
    </row>
    <row r="140" spans="1:13">
      <c r="A140" s="805"/>
      <c r="B140" s="187"/>
      <c r="C140" s="320" t="s">
        <v>3995</v>
      </c>
      <c r="D140" s="187">
        <v>131</v>
      </c>
      <c r="E140" s="327">
        <v>61</v>
      </c>
      <c r="F140" s="991">
        <v>511</v>
      </c>
      <c r="G140" s="446" t="s">
        <v>4035</v>
      </c>
      <c r="H140" s="411">
        <v>5000000</v>
      </c>
      <c r="I140" s="954">
        <v>961963.2</v>
      </c>
      <c r="J140" s="644">
        <f t="shared" si="7"/>
        <v>4038036.8</v>
      </c>
      <c r="K140" s="947">
        <f t="shared" si="8"/>
        <v>19.239263999999999</v>
      </c>
      <c r="M140" s="736"/>
    </row>
    <row r="141" spans="1:13">
      <c r="A141" s="805"/>
      <c r="B141" s="187"/>
      <c r="C141" s="320" t="s">
        <v>3995</v>
      </c>
      <c r="D141" s="187">
        <v>131</v>
      </c>
      <c r="E141" s="327">
        <v>62</v>
      </c>
      <c r="F141" s="991">
        <v>512</v>
      </c>
      <c r="G141" s="446" t="s">
        <v>4036</v>
      </c>
      <c r="H141" s="983">
        <v>2500000</v>
      </c>
      <c r="I141" s="954">
        <v>481964.99</v>
      </c>
      <c r="J141" s="644">
        <f t="shared" si="7"/>
        <v>2018035.01</v>
      </c>
      <c r="K141" s="947">
        <f t="shared" si="8"/>
        <v>19.2785996</v>
      </c>
      <c r="M141" s="736"/>
    </row>
    <row r="142" spans="1:13">
      <c r="A142" s="805"/>
      <c r="B142" s="187"/>
      <c r="C142" s="320" t="s">
        <v>3995</v>
      </c>
      <c r="D142" s="187">
        <v>131</v>
      </c>
      <c r="E142" s="327">
        <v>63</v>
      </c>
      <c r="F142" s="991">
        <v>515</v>
      </c>
      <c r="G142" s="446" t="s">
        <v>3826</v>
      </c>
      <c r="H142" s="983">
        <v>400000</v>
      </c>
      <c r="I142" s="954">
        <v>0</v>
      </c>
      <c r="J142" s="644">
        <f t="shared" si="7"/>
        <v>400000</v>
      </c>
      <c r="K142" s="947">
        <f t="shared" si="8"/>
        <v>0</v>
      </c>
      <c r="M142" s="736"/>
    </row>
    <row r="143" spans="1:13" ht="15.75" thickBot="1">
      <c r="A143" s="805"/>
      <c r="B143" s="187"/>
      <c r="C143" s="320" t="s">
        <v>3995</v>
      </c>
      <c r="D143" s="187">
        <v>131</v>
      </c>
      <c r="E143" s="187">
        <v>64</v>
      </c>
      <c r="F143" s="565">
        <v>541</v>
      </c>
      <c r="G143" s="481" t="s">
        <v>4038</v>
      </c>
      <c r="H143" s="431">
        <v>3000000</v>
      </c>
      <c r="I143" s="846">
        <v>2963799.67</v>
      </c>
      <c r="J143" s="919">
        <f t="shared" si="7"/>
        <v>36200.330000000075</v>
      </c>
      <c r="K143" s="990">
        <f t="shared" si="8"/>
        <v>98.793322333333336</v>
      </c>
      <c r="M143" s="736"/>
    </row>
    <row r="144" spans="1:13" ht="45.75" customHeight="1" thickBot="1">
      <c r="A144" s="805"/>
      <c r="B144" s="187"/>
      <c r="C144" s="286"/>
      <c r="D144" s="190"/>
      <c r="E144" s="187"/>
      <c r="F144" s="1248" t="s">
        <v>4733</v>
      </c>
      <c r="G144" s="1249"/>
      <c r="H144" s="405">
        <f>SUM(H123:H143)</f>
        <v>124900000</v>
      </c>
      <c r="I144" s="591">
        <f>SUM(I123:I143)</f>
        <v>83097440.659999982</v>
      </c>
      <c r="J144" s="349">
        <f>SUM(J123:J143)</f>
        <v>41802559.339999996</v>
      </c>
      <c r="K144" s="971">
        <f t="shared" si="8"/>
        <v>66.531177469975972</v>
      </c>
      <c r="M144" s="736"/>
    </row>
    <row r="145" spans="1:13" ht="15.75" thickBot="1">
      <c r="A145" s="805"/>
      <c r="B145" s="187"/>
      <c r="C145" s="286"/>
      <c r="D145" s="190"/>
      <c r="E145" s="187"/>
      <c r="F145" s="187"/>
      <c r="G145" s="197"/>
      <c r="H145" s="1256"/>
      <c r="I145" s="1256"/>
      <c r="J145" s="1256"/>
      <c r="K145" s="1257"/>
      <c r="M145" s="736"/>
    </row>
    <row r="146" spans="1:13" ht="28.5">
      <c r="A146" s="805"/>
      <c r="B146" s="187"/>
      <c r="C146" s="195" t="s">
        <v>4648</v>
      </c>
      <c r="D146" s="187"/>
      <c r="E146" s="187"/>
      <c r="F146" s="539"/>
      <c r="G146" s="473" t="s">
        <v>4650</v>
      </c>
      <c r="H146" s="291"/>
      <c r="I146" s="844"/>
      <c r="J146" s="844"/>
      <c r="K146" s="942"/>
      <c r="M146" s="736"/>
    </row>
    <row r="147" spans="1:13" ht="15" customHeight="1" thickBot="1">
      <c r="A147" s="805"/>
      <c r="B147" s="187"/>
      <c r="C147" s="320" t="s">
        <v>4648</v>
      </c>
      <c r="D147" s="187">
        <v>131</v>
      </c>
      <c r="E147" s="287"/>
      <c r="F147" s="472"/>
      <c r="G147" s="470" t="s">
        <v>4041</v>
      </c>
      <c r="H147" s="298"/>
      <c r="I147" s="847"/>
      <c r="J147" s="847"/>
      <c r="K147" s="943"/>
      <c r="M147" s="736"/>
    </row>
    <row r="148" spans="1:13" ht="15.75" thickBot="1">
      <c r="A148" s="805"/>
      <c r="B148" s="187"/>
      <c r="C148" s="289" t="s">
        <v>4648</v>
      </c>
      <c r="D148" s="187">
        <v>131</v>
      </c>
      <c r="E148" s="187" t="s">
        <v>4649</v>
      </c>
      <c r="F148" s="408">
        <v>465</v>
      </c>
      <c r="G148" s="551" t="s">
        <v>4022</v>
      </c>
      <c r="H148" s="474">
        <v>2000000</v>
      </c>
      <c r="I148" s="848">
        <v>0</v>
      </c>
      <c r="J148" s="845">
        <f>H148-I148</f>
        <v>2000000</v>
      </c>
      <c r="K148" s="944">
        <v>0</v>
      </c>
      <c r="M148" s="736"/>
    </row>
    <row r="149" spans="1:13" ht="52.5" customHeight="1" thickBot="1">
      <c r="A149" s="805"/>
      <c r="B149" s="187"/>
      <c r="C149" s="286"/>
      <c r="D149" s="190"/>
      <c r="E149" s="187"/>
      <c r="F149" s="1248" t="s">
        <v>4734</v>
      </c>
      <c r="G149" s="1249"/>
      <c r="H149" s="344">
        <f>SUM(H147:H148)</f>
        <v>2000000</v>
      </c>
      <c r="I149" s="816">
        <f>SUM(I147:I148)</f>
        <v>0</v>
      </c>
      <c r="J149" s="816">
        <f>SUM(J147:J148)</f>
        <v>2000000</v>
      </c>
      <c r="K149" s="972">
        <v>0</v>
      </c>
      <c r="M149" s="736"/>
    </row>
    <row r="150" spans="1:13" ht="15.75" thickBot="1">
      <c r="A150" s="805"/>
      <c r="B150" s="187"/>
      <c r="C150" s="286"/>
      <c r="D150" s="190"/>
      <c r="E150" s="187"/>
      <c r="F150" s="187"/>
      <c r="G150" s="197"/>
      <c r="H150" s="250"/>
      <c r="I150" s="1235"/>
      <c r="J150" s="1235"/>
      <c r="K150" s="1236"/>
      <c r="M150" s="736"/>
    </row>
    <row r="151" spans="1:13" ht="24" customHeight="1">
      <c r="A151" s="805"/>
      <c r="B151" s="187"/>
      <c r="C151" s="195" t="s">
        <v>4004</v>
      </c>
      <c r="D151" s="187"/>
      <c r="E151" s="187"/>
      <c r="F151" s="539"/>
      <c r="G151" s="473" t="s">
        <v>4262</v>
      </c>
      <c r="H151" s="291"/>
      <c r="I151" s="844"/>
      <c r="J151" s="844"/>
      <c r="K151" s="942"/>
      <c r="M151" s="736"/>
    </row>
    <row r="152" spans="1:13" ht="15.75" thickBot="1">
      <c r="A152" s="805"/>
      <c r="B152" s="187"/>
      <c r="C152" s="320"/>
      <c r="D152" s="187">
        <v>131</v>
      </c>
      <c r="E152" s="287"/>
      <c r="F152" s="472"/>
      <c r="G152" s="470" t="s">
        <v>4041</v>
      </c>
      <c r="H152" s="298"/>
      <c r="I152" s="847"/>
      <c r="J152" s="847"/>
      <c r="K152" s="945"/>
      <c r="M152" s="736"/>
    </row>
    <row r="153" spans="1:13" ht="15.75" thickBot="1">
      <c r="A153" s="805"/>
      <c r="B153" s="187"/>
      <c r="C153" s="289" t="s">
        <v>4004</v>
      </c>
      <c r="D153" s="187">
        <v>131</v>
      </c>
      <c r="E153" s="187">
        <v>65</v>
      </c>
      <c r="F153" s="408">
        <v>499</v>
      </c>
      <c r="G153" s="467" t="s">
        <v>4262</v>
      </c>
      <c r="H153" s="791">
        <v>22997641</v>
      </c>
      <c r="I153" s="848">
        <v>0</v>
      </c>
      <c r="J153" s="845">
        <f>H153+I153</f>
        <v>22997641</v>
      </c>
      <c r="K153" s="993">
        <v>14.82</v>
      </c>
      <c r="M153" s="736"/>
    </row>
    <row r="154" spans="1:13" ht="35.25" customHeight="1" thickBot="1">
      <c r="A154" s="805"/>
      <c r="B154" s="187"/>
      <c r="C154" s="286"/>
      <c r="D154" s="190"/>
      <c r="E154" s="187"/>
      <c r="F154" s="1248" t="s">
        <v>4651</v>
      </c>
      <c r="G154" s="1249"/>
      <c r="H154" s="344">
        <f>SUM(H152:H153)</f>
        <v>22997641</v>
      </c>
      <c r="I154" s="816">
        <f>SUM(I152:I153)</f>
        <v>0</v>
      </c>
      <c r="J154" s="816">
        <f>SUM(J152:J153)</f>
        <v>22997641</v>
      </c>
      <c r="K154" s="971">
        <v>14.82</v>
      </c>
      <c r="M154" s="736"/>
    </row>
    <row r="155" spans="1:13" ht="15.75" thickBot="1">
      <c r="A155" s="805"/>
      <c r="B155" s="187"/>
      <c r="C155" s="286"/>
      <c r="D155" s="190"/>
      <c r="E155" s="187"/>
      <c r="F155" s="187"/>
      <c r="G155" s="438"/>
      <c r="H155" s="250"/>
      <c r="I155" s="1243"/>
      <c r="J155" s="1243"/>
      <c r="K155" s="1244"/>
      <c r="M155" s="736"/>
    </row>
    <row r="156" spans="1:13" ht="24" customHeight="1">
      <c r="A156" s="805"/>
      <c r="B156" s="187"/>
      <c r="C156" s="195" t="s">
        <v>4005</v>
      </c>
      <c r="D156" s="187"/>
      <c r="E156" s="187"/>
      <c r="F156" s="539"/>
      <c r="G156" s="434" t="s">
        <v>4261</v>
      </c>
      <c r="H156" s="291"/>
      <c r="I156" s="844"/>
      <c r="J156" s="844"/>
      <c r="K156" s="942"/>
      <c r="M156" s="736"/>
    </row>
    <row r="157" spans="1:13" ht="15.75" thickBot="1">
      <c r="A157" s="805"/>
      <c r="B157" s="187"/>
      <c r="C157" s="320"/>
      <c r="D157" s="187">
        <v>131</v>
      </c>
      <c r="E157" s="287"/>
      <c r="F157" s="472"/>
      <c r="G157" s="436" t="s">
        <v>4041</v>
      </c>
      <c r="H157" s="298"/>
      <c r="I157" s="847"/>
      <c r="J157" s="847"/>
      <c r="K157" s="945"/>
      <c r="M157" s="736"/>
    </row>
    <row r="158" spans="1:13" ht="15.75" thickBot="1">
      <c r="A158" s="805"/>
      <c r="B158" s="187"/>
      <c r="C158" s="289" t="s">
        <v>4005</v>
      </c>
      <c r="D158" s="187">
        <v>131</v>
      </c>
      <c r="E158" s="187">
        <v>66</v>
      </c>
      <c r="F158" s="408">
        <v>499</v>
      </c>
      <c r="G158" s="467" t="s">
        <v>4261</v>
      </c>
      <c r="H158" s="474">
        <v>1000000</v>
      </c>
      <c r="I158" s="848">
        <v>0</v>
      </c>
      <c r="J158" s="845">
        <f>H158-I158</f>
        <v>1000000</v>
      </c>
      <c r="K158" s="993">
        <v>0</v>
      </c>
      <c r="M158" s="736"/>
    </row>
    <row r="159" spans="1:13" ht="32.25" customHeight="1" thickBot="1">
      <c r="A159" s="805"/>
      <c r="B159" s="187"/>
      <c r="C159" s="286"/>
      <c r="D159" s="190"/>
      <c r="E159" s="187"/>
      <c r="F159" s="1248" t="s">
        <v>4652</v>
      </c>
      <c r="G159" s="1249"/>
      <c r="H159" s="344">
        <f>SUM(H157:H158)</f>
        <v>1000000</v>
      </c>
      <c r="I159" s="816">
        <f>SUM(I157:I158)</f>
        <v>0</v>
      </c>
      <c r="J159" s="816">
        <f>SUM(J157:J158)</f>
        <v>1000000</v>
      </c>
      <c r="K159" s="870">
        <v>0</v>
      </c>
      <c r="M159" s="736"/>
    </row>
    <row r="160" spans="1:13" ht="76.5" customHeight="1" thickBot="1">
      <c r="A160" s="271"/>
      <c r="B160" s="274"/>
      <c r="C160" s="300"/>
      <c r="D160" s="301"/>
      <c r="E160" s="275"/>
      <c r="F160" s="1250" t="s">
        <v>4718</v>
      </c>
      <c r="G160" s="1251"/>
      <c r="H160" s="471">
        <f>H144+H149+H154+H159</f>
        <v>150897641</v>
      </c>
      <c r="I160" s="849">
        <f>I144+I149+I154+I159</f>
        <v>83097440.659999982</v>
      </c>
      <c r="J160" s="849">
        <f>J144+J149+J154+J159</f>
        <v>67800200.340000004</v>
      </c>
      <c r="K160" s="849">
        <f>I160/H160*100</f>
        <v>55.068747337143584</v>
      </c>
      <c r="M160" s="736"/>
    </row>
    <row r="161" spans="1:13" ht="15.75" thickBot="1">
      <c r="A161" s="187"/>
      <c r="B161" s="187"/>
      <c r="C161" s="286"/>
      <c r="D161" s="190"/>
      <c r="E161" s="187"/>
      <c r="F161" s="187"/>
      <c r="G161" s="197"/>
      <c r="H161" s="250"/>
      <c r="I161" s="339"/>
      <c r="J161" s="339"/>
      <c r="M161" s="736"/>
    </row>
    <row r="162" spans="1:13" ht="28.5">
      <c r="A162" s="281"/>
      <c r="B162" s="282"/>
      <c r="C162" s="283" t="s">
        <v>3559</v>
      </c>
      <c r="D162" s="282"/>
      <c r="E162" s="285"/>
      <c r="F162" s="285"/>
      <c r="G162" s="468" t="s">
        <v>4467</v>
      </c>
      <c r="H162" s="291"/>
      <c r="I162" s="841"/>
      <c r="J162" s="841"/>
      <c r="K162" s="942"/>
      <c r="M162" s="736"/>
    </row>
    <row r="163" spans="1:13">
      <c r="A163" s="616"/>
      <c r="B163" s="187"/>
      <c r="C163" s="195" t="s">
        <v>4049</v>
      </c>
      <c r="D163" s="187"/>
      <c r="E163" s="617"/>
      <c r="F163" s="617"/>
      <c r="G163" s="469" t="s">
        <v>4343</v>
      </c>
      <c r="H163" s="292"/>
      <c r="I163" s="340"/>
      <c r="J163" s="340"/>
      <c r="K163" s="943"/>
      <c r="M163" s="736"/>
    </row>
    <row r="164" spans="1:13" ht="15.75" thickBot="1">
      <c r="A164" s="616"/>
      <c r="B164" s="187"/>
      <c r="C164" s="320"/>
      <c r="D164" s="187">
        <v>131</v>
      </c>
      <c r="E164" s="288"/>
      <c r="F164" s="288"/>
      <c r="G164" s="470" t="s">
        <v>4041</v>
      </c>
      <c r="H164" s="292"/>
      <c r="I164" s="850"/>
      <c r="J164" s="340"/>
      <c r="K164" s="943"/>
      <c r="M164" s="736"/>
    </row>
    <row r="165" spans="1:13" ht="15.75" thickBot="1">
      <c r="A165" s="616"/>
      <c r="B165" s="187"/>
      <c r="C165" s="289" t="s">
        <v>4049</v>
      </c>
      <c r="D165" s="187">
        <v>131</v>
      </c>
      <c r="E165" s="629">
        <v>67</v>
      </c>
      <c r="F165" s="628">
        <v>424</v>
      </c>
      <c r="G165" s="570" t="s">
        <v>3775</v>
      </c>
      <c r="H165" s="602">
        <v>1000000</v>
      </c>
      <c r="I165" s="851">
        <v>296500</v>
      </c>
      <c r="J165" s="933">
        <f>H165-I165</f>
        <v>703500</v>
      </c>
      <c r="K165" s="946">
        <v>29.65</v>
      </c>
      <c r="M165" s="736"/>
    </row>
    <row r="166" spans="1:13" ht="15.75" thickBot="1">
      <c r="A166" s="616"/>
      <c r="B166" s="187"/>
      <c r="C166" s="289" t="s">
        <v>4049</v>
      </c>
      <c r="D166" s="187">
        <v>131</v>
      </c>
      <c r="E166" s="617">
        <v>68</v>
      </c>
      <c r="F166" s="996">
        <v>515</v>
      </c>
      <c r="G166" s="997" t="s">
        <v>3826</v>
      </c>
      <c r="H166" s="620">
        <v>6000000</v>
      </c>
      <c r="I166" s="862">
        <v>894000</v>
      </c>
      <c r="J166" s="934">
        <f>H166-I166</f>
        <v>5106000</v>
      </c>
      <c r="K166" s="948">
        <v>14.9</v>
      </c>
      <c r="M166" s="757"/>
    </row>
    <row r="167" spans="1:13" ht="15.75" thickBot="1">
      <c r="A167" s="616"/>
      <c r="B167" s="187"/>
      <c r="C167" s="289"/>
      <c r="D167" s="187"/>
      <c r="E167" s="617"/>
      <c r="F167" s="1274" t="s">
        <v>4344</v>
      </c>
      <c r="G167" s="1266"/>
      <c r="H167" s="344">
        <f>SUM(H164:H166)</f>
        <v>7000000</v>
      </c>
      <c r="I167" s="831">
        <f>SUM(I164:I166)</f>
        <v>1190500</v>
      </c>
      <c r="J167" s="870">
        <f>SUM(J164:J166)</f>
        <v>5809500</v>
      </c>
      <c r="K167" s="961">
        <f>I167/H167*100</f>
        <v>17.007142857142856</v>
      </c>
      <c r="M167" s="757"/>
    </row>
    <row r="168" spans="1:13" ht="54" customHeight="1" thickBot="1">
      <c r="A168" s="271"/>
      <c r="B168" s="274"/>
      <c r="C168" s="300"/>
      <c r="D168" s="301"/>
      <c r="E168" s="275"/>
      <c r="F168" s="1273" t="s">
        <v>4735</v>
      </c>
      <c r="G168" s="1251"/>
      <c r="H168" s="541">
        <f>H167</f>
        <v>7000000</v>
      </c>
      <c r="I168" s="852">
        <f t="shared" ref="I168:J168" si="9">I167</f>
        <v>1190500</v>
      </c>
      <c r="J168" s="852">
        <f t="shared" si="9"/>
        <v>5809500</v>
      </c>
      <c r="K168" s="852">
        <f>K167</f>
        <v>17.007142857142856</v>
      </c>
      <c r="M168" s="736"/>
    </row>
    <row r="169" spans="1:13" ht="15.75" thickBot="1">
      <c r="A169" s="187"/>
      <c r="B169" s="187"/>
      <c r="C169" s="286"/>
      <c r="D169" s="190"/>
      <c r="E169" s="187"/>
      <c r="F169" s="187"/>
      <c r="G169" s="197"/>
      <c r="H169" s="250"/>
      <c r="I169" s="339"/>
      <c r="J169" s="339"/>
      <c r="M169" s="736"/>
    </row>
    <row r="170" spans="1:13">
      <c r="A170" s="281"/>
      <c r="B170" s="282"/>
      <c r="C170" s="283" t="s">
        <v>3571</v>
      </c>
      <c r="D170" s="282"/>
      <c r="E170" s="282"/>
      <c r="F170" s="323"/>
      <c r="G170" s="324" t="s">
        <v>4333</v>
      </c>
      <c r="H170" s="291"/>
      <c r="I170" s="825"/>
      <c r="J170" s="841"/>
      <c r="K170" s="942"/>
      <c r="M170" s="736"/>
    </row>
    <row r="171" spans="1:13">
      <c r="A171" s="270"/>
      <c r="B171" s="187"/>
      <c r="C171" s="286" t="s">
        <v>3979</v>
      </c>
      <c r="D171" s="187"/>
      <c r="E171" s="187"/>
      <c r="F171" s="321"/>
      <c r="G171" s="325" t="s">
        <v>4332</v>
      </c>
      <c r="H171" s="292"/>
      <c r="I171" s="339"/>
      <c r="J171" s="340"/>
      <c r="K171" s="943"/>
      <c r="M171" s="736"/>
    </row>
    <row r="172" spans="1:13" ht="15.75" thickBot="1">
      <c r="A172" s="270"/>
      <c r="B172" s="187"/>
      <c r="C172" s="286"/>
      <c r="D172" s="187">
        <v>421</v>
      </c>
      <c r="E172" s="287"/>
      <c r="F172" s="328"/>
      <c r="G172" s="460" t="s">
        <v>140</v>
      </c>
      <c r="H172" s="292"/>
      <c r="I172" s="339"/>
      <c r="J172" s="340"/>
      <c r="K172" s="943"/>
      <c r="M172" s="736"/>
    </row>
    <row r="173" spans="1:13">
      <c r="A173" s="270"/>
      <c r="B173" s="187"/>
      <c r="C173" s="289" t="s">
        <v>3979</v>
      </c>
      <c r="D173" s="187">
        <v>421</v>
      </c>
      <c r="E173" s="187">
        <v>69</v>
      </c>
      <c r="F173" s="432">
        <v>422</v>
      </c>
      <c r="G173" s="464" t="s">
        <v>3772</v>
      </c>
      <c r="H173" s="402">
        <v>100000</v>
      </c>
      <c r="I173" s="853">
        <v>0</v>
      </c>
      <c r="J173" s="594">
        <f>H173-I173</f>
        <v>100000</v>
      </c>
      <c r="K173" s="946">
        <v>0</v>
      </c>
      <c r="M173" s="736"/>
    </row>
    <row r="174" spans="1:13">
      <c r="A174" s="270"/>
      <c r="B174" s="187"/>
      <c r="C174" s="289" t="s">
        <v>3979</v>
      </c>
      <c r="D174" s="187">
        <v>421</v>
      </c>
      <c r="E174" s="187">
        <v>70</v>
      </c>
      <c r="F174" s="432">
        <v>423</v>
      </c>
      <c r="G174" s="464" t="s">
        <v>3773</v>
      </c>
      <c r="H174" s="402">
        <v>600000</v>
      </c>
      <c r="I174" s="853">
        <v>219000</v>
      </c>
      <c r="J174" s="594">
        <f>H174-I174</f>
        <v>381000</v>
      </c>
      <c r="K174" s="947">
        <f>I174/H174*100</f>
        <v>36.5</v>
      </c>
      <c r="M174" s="736"/>
    </row>
    <row r="175" spans="1:13">
      <c r="A175" s="270"/>
      <c r="B175" s="187"/>
      <c r="C175" s="289" t="s">
        <v>3979</v>
      </c>
      <c r="D175" s="187">
        <v>421</v>
      </c>
      <c r="E175" s="187">
        <v>71</v>
      </c>
      <c r="F175" s="432">
        <v>424</v>
      </c>
      <c r="G175" s="465" t="s">
        <v>3775</v>
      </c>
      <c r="H175" s="402">
        <v>900000</v>
      </c>
      <c r="I175" s="853">
        <v>847215.16</v>
      </c>
      <c r="J175" s="594">
        <f t="shared" ref="J175:J179" si="10">H175-I175</f>
        <v>52784.839999999967</v>
      </c>
      <c r="K175" s="947">
        <f t="shared" ref="K175:K180" si="11">I175/H175*100</f>
        <v>94.13501777777779</v>
      </c>
      <c r="M175" s="736"/>
    </row>
    <row r="176" spans="1:13">
      <c r="A176" s="722"/>
      <c r="B176" s="187"/>
      <c r="C176" s="289" t="s">
        <v>3979</v>
      </c>
      <c r="D176" s="187">
        <v>421</v>
      </c>
      <c r="E176" s="187">
        <v>72</v>
      </c>
      <c r="F176" s="998">
        <v>425</v>
      </c>
      <c r="G176" s="999" t="s">
        <v>4030</v>
      </c>
      <c r="H176" s="335">
        <v>20000000</v>
      </c>
      <c r="I176" s="871">
        <v>2024537.5</v>
      </c>
      <c r="J176" s="594">
        <f t="shared" si="10"/>
        <v>17975462.5</v>
      </c>
      <c r="K176" s="947">
        <f t="shared" si="11"/>
        <v>10.1226875</v>
      </c>
      <c r="M176" s="736"/>
    </row>
    <row r="177" spans="1:13">
      <c r="A177" s="270"/>
      <c r="B177" s="187"/>
      <c r="C177" s="289" t="s">
        <v>3979</v>
      </c>
      <c r="D177" s="187">
        <v>421</v>
      </c>
      <c r="E177" s="187">
        <v>73</v>
      </c>
      <c r="F177" s="679">
        <v>426</v>
      </c>
      <c r="G177" s="1000" t="s">
        <v>3779</v>
      </c>
      <c r="H177" s="411">
        <v>1200000</v>
      </c>
      <c r="I177" s="854">
        <v>1029150.24</v>
      </c>
      <c r="J177" s="594">
        <f t="shared" si="10"/>
        <v>170849.76</v>
      </c>
      <c r="K177" s="947">
        <f t="shared" si="11"/>
        <v>85.762519999999995</v>
      </c>
      <c r="M177" s="736"/>
    </row>
    <row r="178" spans="1:13">
      <c r="A178" s="270"/>
      <c r="B178" s="187"/>
      <c r="C178" s="289" t="s">
        <v>3979</v>
      </c>
      <c r="D178" s="187">
        <v>421</v>
      </c>
      <c r="E178" s="187">
        <v>74</v>
      </c>
      <c r="F178" s="679">
        <v>4512</v>
      </c>
      <c r="G178" s="513" t="s">
        <v>4293</v>
      </c>
      <c r="H178" s="411">
        <v>5000000</v>
      </c>
      <c r="I178" s="854">
        <v>0</v>
      </c>
      <c r="J178" s="594">
        <f t="shared" si="10"/>
        <v>5000000</v>
      </c>
      <c r="K178" s="947">
        <f t="shared" si="11"/>
        <v>0</v>
      </c>
      <c r="M178" s="736"/>
    </row>
    <row r="179" spans="1:13" ht="14.25" customHeight="1" thickBot="1">
      <c r="A179" s="425"/>
      <c r="B179" s="187"/>
      <c r="C179" s="289" t="s">
        <v>3979</v>
      </c>
      <c r="D179" s="187">
        <v>421</v>
      </c>
      <c r="E179" s="187">
        <v>75</v>
      </c>
      <c r="F179" s="432">
        <v>481</v>
      </c>
      <c r="G179" s="513" t="s">
        <v>4452</v>
      </c>
      <c r="H179" s="411">
        <v>1000000</v>
      </c>
      <c r="I179" s="854">
        <v>1000000</v>
      </c>
      <c r="J179" s="594">
        <f t="shared" si="10"/>
        <v>0</v>
      </c>
      <c r="K179" s="990">
        <f t="shared" si="11"/>
        <v>100</v>
      </c>
      <c r="M179" s="736"/>
    </row>
    <row r="180" spans="1:13" ht="17.25" customHeight="1" thickBot="1">
      <c r="A180" s="270"/>
      <c r="B180" s="187"/>
      <c r="C180" s="289"/>
      <c r="D180" s="187"/>
      <c r="E180" s="187"/>
      <c r="F180" s="1248" t="s">
        <v>4678</v>
      </c>
      <c r="G180" s="1249"/>
      <c r="H180" s="344">
        <f>SUM(H173:H179)</f>
        <v>28800000</v>
      </c>
      <c r="I180" s="831">
        <f>SUM(I173:I179)</f>
        <v>5119902.9000000004</v>
      </c>
      <c r="J180" s="870">
        <f>SUM(J173:J179)</f>
        <v>23680097.100000001</v>
      </c>
      <c r="K180" s="995">
        <f t="shared" si="11"/>
        <v>17.777440625000001</v>
      </c>
      <c r="M180" s="736"/>
    </row>
    <row r="181" spans="1:13" ht="92.25" customHeight="1" thickBot="1">
      <c r="A181" s="271"/>
      <c r="B181" s="274"/>
      <c r="C181" s="290"/>
      <c r="D181" s="274"/>
      <c r="E181" s="274"/>
      <c r="F181" s="1250" t="s">
        <v>4736</v>
      </c>
      <c r="G181" s="1251"/>
      <c r="H181" s="575">
        <f>H180</f>
        <v>28800000</v>
      </c>
      <c r="I181" s="849">
        <f>I180</f>
        <v>5119902.9000000004</v>
      </c>
      <c r="J181" s="898">
        <f>J180</f>
        <v>23680097.100000001</v>
      </c>
      <c r="K181" s="1001">
        <f>K180</f>
        <v>17.777440625000001</v>
      </c>
      <c r="M181" s="736"/>
    </row>
    <row r="182" spans="1:13" ht="15.75" thickBot="1">
      <c r="A182" s="187"/>
      <c r="B182" s="187"/>
      <c r="C182" s="289"/>
      <c r="D182" s="187"/>
      <c r="E182" s="187"/>
      <c r="F182" s="347"/>
      <c r="G182" s="347"/>
      <c r="H182" s="348"/>
      <c r="I182" s="634"/>
      <c r="J182" s="1234"/>
      <c r="K182" s="1234"/>
      <c r="M182" s="736"/>
    </row>
    <row r="183" spans="1:13" ht="32.25" customHeight="1">
      <c r="A183" s="281"/>
      <c r="B183" s="282"/>
      <c r="C183" s="283" t="s">
        <v>3577</v>
      </c>
      <c r="D183" s="284"/>
      <c r="E183" s="284"/>
      <c r="F183" s="314"/>
      <c r="G183" s="310" t="s">
        <v>4361</v>
      </c>
      <c r="H183" s="316"/>
      <c r="I183" s="855"/>
      <c r="J183" s="458"/>
      <c r="K183" s="942"/>
      <c r="M183" s="736"/>
    </row>
    <row r="184" spans="1:13" ht="15" customHeight="1">
      <c r="A184" s="537"/>
      <c r="B184" s="187"/>
      <c r="C184" s="286" t="s">
        <v>4006</v>
      </c>
      <c r="D184" s="190"/>
      <c r="E184" s="190"/>
      <c r="F184" s="315"/>
      <c r="G184" s="311" t="s">
        <v>4468</v>
      </c>
      <c r="H184" s="317"/>
      <c r="I184" s="454"/>
      <c r="J184" s="899"/>
      <c r="K184" s="943"/>
      <c r="M184" s="736"/>
    </row>
    <row r="185" spans="1:13" ht="15.75" thickBot="1">
      <c r="A185" s="537"/>
      <c r="B185" s="187"/>
      <c r="C185" s="286"/>
      <c r="D185" s="187">
        <v>451</v>
      </c>
      <c r="E185" s="287"/>
      <c r="F185" s="297"/>
      <c r="G185" s="312" t="s">
        <v>155</v>
      </c>
      <c r="H185" s="292"/>
      <c r="I185" s="339"/>
      <c r="J185" s="340"/>
      <c r="K185" s="943"/>
      <c r="M185" s="736"/>
    </row>
    <row r="186" spans="1:13">
      <c r="A186" s="537"/>
      <c r="B186" s="187"/>
      <c r="C186" s="441" t="s">
        <v>4006</v>
      </c>
      <c r="D186" s="327">
        <v>451</v>
      </c>
      <c r="E186" s="327">
        <v>76</v>
      </c>
      <c r="F186" s="462">
        <v>423</v>
      </c>
      <c r="G186" s="775" t="s">
        <v>3773</v>
      </c>
      <c r="H186" s="416">
        <v>400000</v>
      </c>
      <c r="I186" s="864">
        <v>54457.24</v>
      </c>
      <c r="J186" s="935">
        <f>H186-I186</f>
        <v>345542.76</v>
      </c>
      <c r="K186" s="946">
        <v>13.61</v>
      </c>
      <c r="M186" s="736"/>
    </row>
    <row r="187" spans="1:13">
      <c r="A187" s="537"/>
      <c r="B187" s="187"/>
      <c r="C187" s="441" t="s">
        <v>4006</v>
      </c>
      <c r="D187" s="327">
        <v>451</v>
      </c>
      <c r="E187" s="327">
        <v>77</v>
      </c>
      <c r="F187" s="572">
        <v>425</v>
      </c>
      <c r="G187" s="569" t="s">
        <v>4030</v>
      </c>
      <c r="H187" s="411">
        <v>3000000</v>
      </c>
      <c r="I187" s="856">
        <v>1689051.9</v>
      </c>
      <c r="J187" s="644">
        <f>H187-I187</f>
        <v>1310948.1000000001</v>
      </c>
      <c r="K187" s="947">
        <v>56.3</v>
      </c>
      <c r="M187" s="736"/>
    </row>
    <row r="188" spans="1:13">
      <c r="A188" s="537"/>
      <c r="B188" s="187"/>
      <c r="C188" s="441" t="s">
        <v>4006</v>
      </c>
      <c r="D188" s="327">
        <v>451</v>
      </c>
      <c r="E188" s="327">
        <v>78</v>
      </c>
      <c r="F188" s="572">
        <v>426</v>
      </c>
      <c r="G188" s="569" t="s">
        <v>3779</v>
      </c>
      <c r="H188" s="411">
        <v>100000</v>
      </c>
      <c r="I188" s="856">
        <v>9600</v>
      </c>
      <c r="J188" s="644">
        <f t="shared" ref="J188:J190" si="12">H188-I188</f>
        <v>90400</v>
      </c>
      <c r="K188" s="947">
        <v>9.6</v>
      </c>
      <c r="M188" s="736"/>
    </row>
    <row r="189" spans="1:13">
      <c r="A189" s="563"/>
      <c r="B189" s="187"/>
      <c r="C189" s="441" t="s">
        <v>4006</v>
      </c>
      <c r="D189" s="327">
        <v>451</v>
      </c>
      <c r="E189" s="442" t="s">
        <v>4629</v>
      </c>
      <c r="F189" s="572">
        <v>511</v>
      </c>
      <c r="G189" s="1002" t="s">
        <v>4035</v>
      </c>
      <c r="H189" s="411">
        <v>0</v>
      </c>
      <c r="I189" s="856">
        <v>0</v>
      </c>
      <c r="J189" s="644">
        <f t="shared" si="12"/>
        <v>0</v>
      </c>
      <c r="K189" s="947">
        <v>0</v>
      </c>
      <c r="M189" s="736"/>
    </row>
    <row r="190" spans="1:13" ht="15.75" thickBot="1">
      <c r="A190" s="537"/>
      <c r="B190" s="187"/>
      <c r="C190" s="441" t="s">
        <v>4006</v>
      </c>
      <c r="D190" s="327">
        <v>451</v>
      </c>
      <c r="E190" s="327">
        <v>80</v>
      </c>
      <c r="F190" s="1003">
        <v>512</v>
      </c>
      <c r="G190" s="568" t="s">
        <v>4036</v>
      </c>
      <c r="H190" s="1004">
        <v>7000000</v>
      </c>
      <c r="I190" s="903">
        <v>918667.74</v>
      </c>
      <c r="J190" s="919">
        <f t="shared" si="12"/>
        <v>6081332.2599999998</v>
      </c>
      <c r="K190" s="948">
        <v>13.12</v>
      </c>
      <c r="M190" s="736"/>
    </row>
    <row r="191" spans="1:13" ht="47.25" customHeight="1" thickBot="1">
      <c r="A191" s="537"/>
      <c r="B191" s="187"/>
      <c r="C191" s="289"/>
      <c r="D191" s="187"/>
      <c r="E191" s="187"/>
      <c r="F191" s="1248" t="s">
        <v>4737</v>
      </c>
      <c r="G191" s="1249"/>
      <c r="H191" s="405">
        <f>SUM(H186:H190)</f>
        <v>10500000</v>
      </c>
      <c r="I191" s="857">
        <f>SUM(I186:I190)</f>
        <v>2671776.88</v>
      </c>
      <c r="J191" s="870">
        <f>H191-I191</f>
        <v>7828223.1200000001</v>
      </c>
      <c r="K191" s="972">
        <f>I191/H191*100</f>
        <v>25.445494095238093</v>
      </c>
      <c r="M191" s="736"/>
    </row>
    <row r="192" spans="1:13" ht="15.75" thickBot="1">
      <c r="A192" s="537"/>
      <c r="B192" s="187"/>
      <c r="C192" s="289"/>
      <c r="D192" s="187"/>
      <c r="E192" s="187"/>
      <c r="F192" s="187"/>
      <c r="G192" s="313"/>
      <c r="H192" s="250"/>
      <c r="I192" s="339"/>
      <c r="J192" s="1235"/>
      <c r="K192" s="1235"/>
      <c r="M192" s="736"/>
    </row>
    <row r="193" spans="1:13" ht="28.5">
      <c r="A193" s="537"/>
      <c r="B193" s="187"/>
      <c r="C193" s="286" t="s">
        <v>4048</v>
      </c>
      <c r="D193" s="190"/>
      <c r="E193" s="190"/>
      <c r="F193" s="539"/>
      <c r="G193" s="310" t="s">
        <v>4469</v>
      </c>
      <c r="H193" s="291"/>
      <c r="I193" s="825"/>
      <c r="J193" s="841"/>
      <c r="K193" s="942"/>
      <c r="M193" s="736"/>
    </row>
    <row r="194" spans="1:13" ht="15.75" thickBot="1">
      <c r="A194" s="537"/>
      <c r="B194" s="187"/>
      <c r="C194" s="286"/>
      <c r="D194" s="187">
        <v>451</v>
      </c>
      <c r="E194" s="287"/>
      <c r="F194" s="540"/>
      <c r="G194" s="488" t="s">
        <v>155</v>
      </c>
      <c r="H194" s="298"/>
      <c r="I194" s="826"/>
      <c r="J194" s="850"/>
      <c r="K194" s="943"/>
      <c r="M194" s="736"/>
    </row>
    <row r="195" spans="1:13">
      <c r="A195" s="537"/>
      <c r="B195" s="187"/>
      <c r="C195" s="441" t="s">
        <v>4048</v>
      </c>
      <c r="D195" s="327">
        <v>451</v>
      </c>
      <c r="E195" s="327">
        <v>81</v>
      </c>
      <c r="F195" s="462">
        <v>424</v>
      </c>
      <c r="G195" s="463" t="s">
        <v>3775</v>
      </c>
      <c r="H195" s="416">
        <v>800000</v>
      </c>
      <c r="I195" s="864">
        <v>754814.4</v>
      </c>
      <c r="J195" s="935">
        <f>H195-I195</f>
        <v>45185.599999999977</v>
      </c>
      <c r="K195" s="946">
        <v>94.35</v>
      </c>
      <c r="M195" s="736"/>
    </row>
    <row r="196" spans="1:13">
      <c r="A196" s="537"/>
      <c r="B196" s="187"/>
      <c r="C196" s="441" t="s">
        <v>4048</v>
      </c>
      <c r="D196" s="327">
        <v>451</v>
      </c>
      <c r="E196" s="327">
        <v>82</v>
      </c>
      <c r="F196" s="544">
        <v>425</v>
      </c>
      <c r="G196" s="545" t="s">
        <v>4030</v>
      </c>
      <c r="H196" s="411">
        <v>19000000</v>
      </c>
      <c r="I196" s="858">
        <v>13424252.630000001</v>
      </c>
      <c r="J196" s="644">
        <f>H196-I196</f>
        <v>5575747.3699999992</v>
      </c>
      <c r="K196" s="947">
        <v>70.650000000000006</v>
      </c>
      <c r="M196" s="736"/>
    </row>
    <row r="197" spans="1:13">
      <c r="A197" s="537"/>
      <c r="B197" s="187"/>
      <c r="C197" s="441" t="s">
        <v>4048</v>
      </c>
      <c r="D197" s="327">
        <v>451</v>
      </c>
      <c r="E197" s="327">
        <v>83</v>
      </c>
      <c r="F197" s="544">
        <v>426</v>
      </c>
      <c r="G197" s="545" t="s">
        <v>3779</v>
      </c>
      <c r="H197" s="411">
        <v>200000</v>
      </c>
      <c r="I197" s="858">
        <v>95520</v>
      </c>
      <c r="J197" s="644">
        <f t="shared" ref="J197:J198" si="13">H197-I197</f>
        <v>104480</v>
      </c>
      <c r="K197" s="947">
        <v>47.76</v>
      </c>
      <c r="M197" s="736"/>
    </row>
    <row r="198" spans="1:13" ht="15.75" thickBot="1">
      <c r="A198" s="537"/>
      <c r="B198" s="187"/>
      <c r="C198" s="441" t="s">
        <v>4048</v>
      </c>
      <c r="D198" s="327">
        <v>451</v>
      </c>
      <c r="E198" s="327">
        <v>84</v>
      </c>
      <c r="F198" s="542">
        <v>511</v>
      </c>
      <c r="G198" s="543" t="s">
        <v>4035</v>
      </c>
      <c r="H198" s="546">
        <v>2500000</v>
      </c>
      <c r="I198" s="859">
        <v>293832</v>
      </c>
      <c r="J198" s="644">
        <f t="shared" si="13"/>
        <v>2206168</v>
      </c>
      <c r="K198" s="948">
        <v>11.75</v>
      </c>
      <c r="M198" s="736"/>
    </row>
    <row r="199" spans="1:13" ht="29.25" customHeight="1" thickBot="1">
      <c r="A199" s="537"/>
      <c r="B199" s="187"/>
      <c r="C199" s="441"/>
      <c r="D199" s="187"/>
      <c r="E199" s="187"/>
      <c r="F199" s="1248" t="s">
        <v>4584</v>
      </c>
      <c r="G199" s="1249"/>
      <c r="H199" s="344">
        <f>SUM(H195:H198)</f>
        <v>22500000</v>
      </c>
      <c r="I199" s="349">
        <f>SUM(I195:I198)</f>
        <v>14568419.030000001</v>
      </c>
      <c r="J199" s="349">
        <f>SUM(J195:J198)</f>
        <v>7931580.9699999988</v>
      </c>
      <c r="K199" s="972">
        <f>I199/H199*100</f>
        <v>64.748529022222229</v>
      </c>
      <c r="M199" s="736"/>
    </row>
    <row r="200" spans="1:13" ht="15.75" thickBot="1">
      <c r="A200" s="537"/>
      <c r="B200" s="187"/>
      <c r="C200" s="441"/>
      <c r="D200" s="187"/>
      <c r="E200" s="1232"/>
      <c r="F200" s="1232"/>
      <c r="G200" s="1232"/>
      <c r="H200" s="1232"/>
      <c r="I200" s="1232"/>
      <c r="J200" s="1232"/>
      <c r="K200" s="1232"/>
      <c r="M200" s="736"/>
    </row>
    <row r="201" spans="1:13">
      <c r="A201" s="440"/>
      <c r="B201" s="327"/>
      <c r="C201" s="345" t="s">
        <v>4118</v>
      </c>
      <c r="D201" s="327"/>
      <c r="E201" s="327"/>
      <c r="F201" s="491"/>
      <c r="G201" s="489" t="s">
        <v>4573</v>
      </c>
      <c r="H201" s="477"/>
      <c r="I201" s="635"/>
      <c r="J201" s="868"/>
      <c r="K201" s="942"/>
      <c r="M201" s="736"/>
    </row>
    <row r="202" spans="1:13" ht="15.75" thickBot="1">
      <c r="A202" s="440"/>
      <c r="B202" s="327"/>
      <c r="C202" s="441"/>
      <c r="D202" s="327">
        <v>451</v>
      </c>
      <c r="E202" s="502"/>
      <c r="F202" s="566"/>
      <c r="G202" s="651" t="s">
        <v>155</v>
      </c>
      <c r="H202" s="476"/>
      <c r="I202" s="634"/>
      <c r="J202" s="896"/>
      <c r="K202" s="943"/>
      <c r="M202" s="736"/>
    </row>
    <row r="203" spans="1:13">
      <c r="A203" s="616"/>
      <c r="B203" s="187"/>
      <c r="C203" s="441" t="s">
        <v>4118</v>
      </c>
      <c r="D203" s="187">
        <v>451</v>
      </c>
      <c r="E203" s="567">
        <v>85</v>
      </c>
      <c r="F203" s="462">
        <v>423</v>
      </c>
      <c r="G203" s="624" t="s">
        <v>3773</v>
      </c>
      <c r="H203" s="625">
        <v>0</v>
      </c>
      <c r="I203" s="1005">
        <v>0</v>
      </c>
      <c r="J203" s="833">
        <f>H203-I203</f>
        <v>0</v>
      </c>
      <c r="K203" s="946">
        <v>0</v>
      </c>
      <c r="M203" s="736"/>
    </row>
    <row r="204" spans="1:13" ht="15.75" thickBot="1">
      <c r="A204" s="616"/>
      <c r="B204" s="187"/>
      <c r="C204" s="441" t="s">
        <v>4118</v>
      </c>
      <c r="D204" s="187">
        <v>451</v>
      </c>
      <c r="E204" s="327">
        <v>86</v>
      </c>
      <c r="F204" s="622">
        <v>511</v>
      </c>
      <c r="G204" s="626" t="s">
        <v>4035</v>
      </c>
      <c r="H204" s="627">
        <v>4500000</v>
      </c>
      <c r="I204" s="1006">
        <v>0</v>
      </c>
      <c r="J204" s="1007">
        <f>H204-I204</f>
        <v>4500000</v>
      </c>
      <c r="K204" s="948">
        <v>0</v>
      </c>
      <c r="M204" s="736"/>
    </row>
    <row r="205" spans="1:13" ht="29.25" customHeight="1" thickBot="1">
      <c r="A205" s="616"/>
      <c r="B205" s="187"/>
      <c r="C205" s="441"/>
      <c r="D205" s="187"/>
      <c r="E205" s="187"/>
      <c r="F205" s="1248" t="s">
        <v>4590</v>
      </c>
      <c r="G205" s="1249"/>
      <c r="H205" s="344">
        <f>SUM(H200:H204)</f>
        <v>4500000</v>
      </c>
      <c r="I205" s="349">
        <f t="shared" ref="I205:J205" si="14">SUM(I200:I204)</f>
        <v>0</v>
      </c>
      <c r="J205" s="591">
        <f t="shared" si="14"/>
        <v>4500000</v>
      </c>
      <c r="K205" s="972">
        <v>0</v>
      </c>
      <c r="M205" s="736"/>
    </row>
    <row r="206" spans="1:13" ht="15.75" thickBot="1">
      <c r="A206" s="616"/>
      <c r="B206" s="187"/>
      <c r="C206" s="441"/>
      <c r="D206" s="187"/>
      <c r="E206" s="1232"/>
      <c r="F206" s="1232"/>
      <c r="G206" s="1232"/>
      <c r="H206" s="1232"/>
      <c r="I206" s="1232"/>
      <c r="J206" s="1232"/>
      <c r="K206" s="1232"/>
      <c r="L206" s="1232"/>
      <c r="M206" s="736"/>
    </row>
    <row r="207" spans="1:13">
      <c r="A207" s="616"/>
      <c r="B207" s="187"/>
      <c r="C207" s="345" t="s">
        <v>4362</v>
      </c>
      <c r="D207" s="187"/>
      <c r="E207" s="187"/>
      <c r="F207" s="491"/>
      <c r="G207" s="489" t="s">
        <v>4574</v>
      </c>
      <c r="H207" s="477"/>
      <c r="I207" s="635"/>
      <c r="J207" s="868"/>
      <c r="K207" s="942"/>
      <c r="M207" s="736"/>
    </row>
    <row r="208" spans="1:13" ht="15.75" thickBot="1">
      <c r="A208" s="616"/>
      <c r="B208" s="187"/>
      <c r="C208" s="441"/>
      <c r="D208" s="187">
        <v>451</v>
      </c>
      <c r="E208" s="287"/>
      <c r="F208" s="566"/>
      <c r="G208" s="651" t="s">
        <v>155</v>
      </c>
      <c r="H208" s="476"/>
      <c r="I208" s="634"/>
      <c r="J208" s="896"/>
      <c r="K208" s="943"/>
      <c r="M208" s="736"/>
    </row>
    <row r="209" spans="1:13">
      <c r="A209" s="616"/>
      <c r="B209" s="187"/>
      <c r="C209" s="441" t="s">
        <v>4362</v>
      </c>
      <c r="D209" s="187">
        <v>451</v>
      </c>
      <c r="E209" s="567">
        <v>87</v>
      </c>
      <c r="F209" s="462">
        <v>423</v>
      </c>
      <c r="G209" s="624" t="s">
        <v>3773</v>
      </c>
      <c r="H209" s="625">
        <v>0</v>
      </c>
      <c r="I209" s="1005">
        <v>0</v>
      </c>
      <c r="J209" s="1005">
        <f>H209-I209</f>
        <v>0</v>
      </c>
      <c r="K209" s="946">
        <v>0</v>
      </c>
      <c r="M209" s="736"/>
    </row>
    <row r="210" spans="1:13" ht="15.75" thickBot="1">
      <c r="A210" s="616"/>
      <c r="B210" s="187"/>
      <c r="C210" s="441" t="s">
        <v>4362</v>
      </c>
      <c r="D210" s="187">
        <v>451</v>
      </c>
      <c r="E210" s="327">
        <v>88</v>
      </c>
      <c r="F210" s="622">
        <v>511</v>
      </c>
      <c r="G210" s="626" t="s">
        <v>4035</v>
      </c>
      <c r="H210" s="627">
        <v>9000000</v>
      </c>
      <c r="I210" s="1006">
        <v>0</v>
      </c>
      <c r="J210" s="1008">
        <f>H210-I210</f>
        <v>9000000</v>
      </c>
      <c r="K210" s="948">
        <v>0</v>
      </c>
      <c r="M210" s="736"/>
    </row>
    <row r="211" spans="1:13" ht="30" customHeight="1" thickBot="1">
      <c r="A211" s="616"/>
      <c r="B211" s="187"/>
      <c r="C211" s="441"/>
      <c r="D211" s="187"/>
      <c r="E211" s="187"/>
      <c r="F211" s="1248" t="s">
        <v>4585</v>
      </c>
      <c r="G211" s="1249"/>
      <c r="H211" s="344">
        <f>SUM(H206:H210)</f>
        <v>9000000</v>
      </c>
      <c r="I211" s="349">
        <f t="shared" ref="I211:J211" si="15">SUM(I206:I210)</f>
        <v>0</v>
      </c>
      <c r="J211" s="591">
        <f t="shared" si="15"/>
        <v>9000000</v>
      </c>
      <c r="K211" s="972">
        <v>0</v>
      </c>
      <c r="M211" s="736"/>
    </row>
    <row r="212" spans="1:13" ht="15.75" thickBot="1">
      <c r="A212" s="616"/>
      <c r="B212" s="187"/>
      <c r="C212" s="441"/>
      <c r="D212" s="187"/>
      <c r="E212" s="1232"/>
      <c r="F212" s="1232"/>
      <c r="G212" s="1232"/>
      <c r="H212" s="1232"/>
      <c r="I212" s="1232"/>
      <c r="J212" s="1232"/>
      <c r="K212" s="1232"/>
      <c r="M212" s="736"/>
    </row>
    <row r="213" spans="1:13" ht="28.5">
      <c r="A213" s="616"/>
      <c r="B213" s="187"/>
      <c r="C213" s="345" t="s">
        <v>4577</v>
      </c>
      <c r="D213" s="187"/>
      <c r="E213" s="187"/>
      <c r="F213" s="491"/>
      <c r="G213" s="489" t="s">
        <v>4575</v>
      </c>
      <c r="H213" s="477"/>
      <c r="I213" s="635"/>
      <c r="J213" s="868"/>
      <c r="K213" s="942"/>
      <c r="M213" s="736"/>
    </row>
    <row r="214" spans="1:13" ht="15.75" thickBot="1">
      <c r="A214" s="616"/>
      <c r="B214" s="187"/>
      <c r="C214" s="441"/>
      <c r="D214" s="187">
        <v>451</v>
      </c>
      <c r="E214" s="287"/>
      <c r="F214" s="540"/>
      <c r="G214" s="490" t="s">
        <v>155</v>
      </c>
      <c r="H214" s="476"/>
      <c r="I214" s="634"/>
      <c r="J214" s="896"/>
      <c r="K214" s="943"/>
      <c r="M214" s="736"/>
    </row>
    <row r="215" spans="1:13">
      <c r="A215" s="616"/>
      <c r="B215" s="187"/>
      <c r="C215" s="441" t="s">
        <v>4577</v>
      </c>
      <c r="D215" s="187">
        <v>451</v>
      </c>
      <c r="E215" s="567">
        <v>89</v>
      </c>
      <c r="F215" s="462">
        <v>423</v>
      </c>
      <c r="G215" s="624" t="s">
        <v>3773</v>
      </c>
      <c r="H215" s="625">
        <v>0</v>
      </c>
      <c r="I215" s="1005">
        <v>0</v>
      </c>
      <c r="J215" s="1005">
        <f>H215-I215</f>
        <v>0</v>
      </c>
      <c r="K215" s="946">
        <v>0</v>
      </c>
      <c r="M215" s="736"/>
    </row>
    <row r="216" spans="1:13" ht="15.75" thickBot="1">
      <c r="A216" s="616"/>
      <c r="B216" s="187"/>
      <c r="C216" s="441" t="s">
        <v>4577</v>
      </c>
      <c r="D216" s="187">
        <v>451</v>
      </c>
      <c r="E216" s="327">
        <v>90</v>
      </c>
      <c r="F216" s="622">
        <v>511</v>
      </c>
      <c r="G216" s="626" t="s">
        <v>4035</v>
      </c>
      <c r="H216" s="627">
        <v>4150000</v>
      </c>
      <c r="I216" s="1006">
        <v>0</v>
      </c>
      <c r="J216" s="1008">
        <f>H216-I216</f>
        <v>4150000</v>
      </c>
      <c r="K216" s="948">
        <v>0</v>
      </c>
      <c r="M216" s="736"/>
    </row>
    <row r="217" spans="1:13" ht="31.5" customHeight="1" thickBot="1">
      <c r="A217" s="616"/>
      <c r="B217" s="187"/>
      <c r="C217" s="441"/>
      <c r="D217" s="187"/>
      <c r="E217" s="187"/>
      <c r="F217" s="1248" t="s">
        <v>4623</v>
      </c>
      <c r="G217" s="1249"/>
      <c r="H217" s="344">
        <f>SUM(H213:H216)</f>
        <v>4150000</v>
      </c>
      <c r="I217" s="349">
        <f>SUM(I213:I216)</f>
        <v>0</v>
      </c>
      <c r="J217" s="591">
        <f>SUM(J213:J216)</f>
        <v>4150000</v>
      </c>
      <c r="K217" s="972">
        <v>0</v>
      </c>
      <c r="M217" s="736"/>
    </row>
    <row r="218" spans="1:13" ht="15.75" thickBot="1">
      <c r="A218" s="616"/>
      <c r="B218" s="187"/>
      <c r="C218" s="441"/>
      <c r="D218" s="187"/>
      <c r="E218" s="1232"/>
      <c r="F218" s="1232"/>
      <c r="G218" s="1232"/>
      <c r="H218" s="1232"/>
      <c r="I218" s="1232"/>
      <c r="J218" s="1232"/>
      <c r="K218" s="1232"/>
      <c r="M218" s="736"/>
    </row>
    <row r="219" spans="1:13" ht="28.5">
      <c r="A219" s="616"/>
      <c r="B219" s="187"/>
      <c r="C219" s="345" t="s">
        <v>4578</v>
      </c>
      <c r="D219" s="187"/>
      <c r="E219" s="187"/>
      <c r="F219" s="491"/>
      <c r="G219" s="489" t="s">
        <v>4576</v>
      </c>
      <c r="H219" s="477"/>
      <c r="I219" s="635"/>
      <c r="J219" s="868"/>
      <c r="K219" s="942"/>
      <c r="M219" s="736"/>
    </row>
    <row r="220" spans="1:13" ht="15.75" thickBot="1">
      <c r="A220" s="616"/>
      <c r="B220" s="187"/>
      <c r="C220" s="441"/>
      <c r="D220" s="187">
        <v>451</v>
      </c>
      <c r="E220" s="287"/>
      <c r="F220" s="540"/>
      <c r="G220" s="490" t="s">
        <v>155</v>
      </c>
      <c r="H220" s="476"/>
      <c r="I220" s="634"/>
      <c r="J220" s="896"/>
      <c r="K220" s="943"/>
      <c r="M220" s="736"/>
    </row>
    <row r="221" spans="1:13">
      <c r="A221" s="616"/>
      <c r="B221" s="187"/>
      <c r="C221" s="441" t="s">
        <v>4578</v>
      </c>
      <c r="D221" s="187">
        <v>451</v>
      </c>
      <c r="E221" s="567">
        <v>91</v>
      </c>
      <c r="F221" s="462">
        <v>423</v>
      </c>
      <c r="G221" s="624" t="s">
        <v>3773</v>
      </c>
      <c r="H221" s="625">
        <v>0</v>
      </c>
      <c r="I221" s="1005">
        <v>0</v>
      </c>
      <c r="J221" s="1005">
        <f>H221-I221</f>
        <v>0</v>
      </c>
      <c r="K221" s="946">
        <v>0</v>
      </c>
      <c r="M221" s="736"/>
    </row>
    <row r="222" spans="1:13" ht="15.75" thickBot="1">
      <c r="A222" s="616"/>
      <c r="B222" s="187"/>
      <c r="C222" s="441" t="s">
        <v>4578</v>
      </c>
      <c r="D222" s="187">
        <v>451</v>
      </c>
      <c r="E222" s="327">
        <v>92</v>
      </c>
      <c r="F222" s="622">
        <v>511</v>
      </c>
      <c r="G222" s="626" t="s">
        <v>4035</v>
      </c>
      <c r="H222" s="627">
        <v>6200000</v>
      </c>
      <c r="I222" s="1006">
        <v>3476375.08</v>
      </c>
      <c r="J222" s="1008">
        <f>H222-I222</f>
        <v>2723624.92</v>
      </c>
      <c r="K222" s="948">
        <v>56.07</v>
      </c>
      <c r="M222" s="736"/>
    </row>
    <row r="223" spans="1:13" ht="34.5" customHeight="1" thickBot="1">
      <c r="A223" s="616"/>
      <c r="B223" s="187"/>
      <c r="C223" s="441"/>
      <c r="D223" s="187"/>
      <c r="E223" s="187"/>
      <c r="F223" s="1248" t="s">
        <v>4594</v>
      </c>
      <c r="G223" s="1249"/>
      <c r="H223" s="344">
        <f>SUM(H218:H222)</f>
        <v>6200000</v>
      </c>
      <c r="I223" s="349">
        <f t="shared" ref="I223:J223" si="16">SUM(I218:I222)</f>
        <v>3476375.08</v>
      </c>
      <c r="J223" s="591">
        <f t="shared" si="16"/>
        <v>2723624.92</v>
      </c>
      <c r="K223" s="972">
        <v>56.07</v>
      </c>
      <c r="M223" s="736"/>
    </row>
    <row r="224" spans="1:13" ht="15.75" thickBot="1">
      <c r="A224" s="616"/>
      <c r="B224" s="187"/>
      <c r="C224" s="441"/>
      <c r="D224" s="187"/>
      <c r="E224" s="1232"/>
      <c r="F224" s="1232"/>
      <c r="G224" s="1232"/>
      <c r="H224" s="1232"/>
      <c r="I224" s="1232"/>
      <c r="J224" s="1232"/>
      <c r="K224" s="1232"/>
      <c r="M224" s="736"/>
    </row>
    <row r="225" spans="1:13" ht="42.75">
      <c r="A225" s="616"/>
      <c r="B225" s="187"/>
      <c r="C225" s="345" t="s">
        <v>4447</v>
      </c>
      <c r="D225" s="187"/>
      <c r="E225" s="187"/>
      <c r="F225" s="491"/>
      <c r="G225" s="489" t="s">
        <v>4563</v>
      </c>
      <c r="H225" s="477"/>
      <c r="I225" s="635"/>
      <c r="J225" s="868"/>
      <c r="K225" s="942"/>
      <c r="M225" s="736"/>
    </row>
    <row r="226" spans="1:13" ht="15.75" thickBot="1">
      <c r="A226" s="616"/>
      <c r="B226" s="187"/>
      <c r="C226" s="441"/>
      <c r="D226" s="187">
        <v>451</v>
      </c>
      <c r="E226" s="287"/>
      <c r="F226" s="540"/>
      <c r="G226" s="490" t="s">
        <v>155</v>
      </c>
      <c r="H226" s="476"/>
      <c r="I226" s="634"/>
      <c r="J226" s="896"/>
      <c r="K226" s="943"/>
      <c r="M226" s="736"/>
    </row>
    <row r="227" spans="1:13">
      <c r="A227" s="616"/>
      <c r="B227" s="187"/>
      <c r="C227" s="441" t="s">
        <v>4447</v>
      </c>
      <c r="D227" s="187">
        <v>451</v>
      </c>
      <c r="E227" s="567">
        <v>93</v>
      </c>
      <c r="F227" s="462">
        <v>423</v>
      </c>
      <c r="G227" s="624" t="s">
        <v>3773</v>
      </c>
      <c r="H227" s="625">
        <v>50000</v>
      </c>
      <c r="I227" s="1005">
        <v>24000</v>
      </c>
      <c r="J227" s="1005">
        <f>H227-I227</f>
        <v>26000</v>
      </c>
      <c r="K227" s="946">
        <v>48</v>
      </c>
      <c r="M227" s="736"/>
    </row>
    <row r="228" spans="1:13" ht="15.75" thickBot="1">
      <c r="A228" s="616"/>
      <c r="B228" s="187"/>
      <c r="C228" s="441" t="s">
        <v>4447</v>
      </c>
      <c r="D228" s="187">
        <v>451</v>
      </c>
      <c r="E228" s="327">
        <v>94</v>
      </c>
      <c r="F228" s="622">
        <v>511</v>
      </c>
      <c r="G228" s="626" t="s">
        <v>4035</v>
      </c>
      <c r="H228" s="627">
        <v>2000000</v>
      </c>
      <c r="I228" s="1006">
        <v>1989037.13</v>
      </c>
      <c r="J228" s="1008">
        <f>H228-I228</f>
        <v>10962.870000000112</v>
      </c>
      <c r="K228" s="948">
        <v>99.45</v>
      </c>
      <c r="M228" s="736"/>
    </row>
    <row r="229" spans="1:13" ht="45.75" customHeight="1" thickBot="1">
      <c r="A229" s="616"/>
      <c r="B229" s="187"/>
      <c r="C229" s="441"/>
      <c r="D229" s="187"/>
      <c r="E229" s="187"/>
      <c r="F229" s="1248" t="s">
        <v>4738</v>
      </c>
      <c r="G229" s="1249"/>
      <c r="H229" s="344">
        <f>SUM(H227:H228)</f>
        <v>2050000</v>
      </c>
      <c r="I229" s="349">
        <f t="shared" ref="I229:J229" si="17">SUM(I227:I228)</f>
        <v>2013037.13</v>
      </c>
      <c r="J229" s="591">
        <f t="shared" si="17"/>
        <v>36962.870000000112</v>
      </c>
      <c r="K229" s="972">
        <f>I229/H229*100</f>
        <v>98.196933170731711</v>
      </c>
      <c r="M229" s="736"/>
    </row>
    <row r="230" spans="1:13" ht="15.75" thickBot="1">
      <c r="A230" s="616"/>
      <c r="B230" s="187"/>
      <c r="C230" s="441"/>
      <c r="D230" s="187"/>
      <c r="E230" s="1232"/>
      <c r="F230" s="1232"/>
      <c r="G230" s="1232"/>
      <c r="H230" s="1232"/>
      <c r="I230" s="1232"/>
      <c r="J230" s="1232"/>
      <c r="K230" s="1232"/>
      <c r="L230" s="1232"/>
      <c r="M230" s="736"/>
    </row>
    <row r="231" spans="1:13" ht="28.5">
      <c r="A231" s="616"/>
      <c r="B231" s="187"/>
      <c r="C231" s="345" t="s">
        <v>4119</v>
      </c>
      <c r="D231" s="187"/>
      <c r="E231" s="187"/>
      <c r="F231" s="491"/>
      <c r="G231" s="489" t="s">
        <v>4571</v>
      </c>
      <c r="H231" s="477"/>
      <c r="I231" s="635"/>
      <c r="J231" s="868"/>
      <c r="K231" s="942"/>
      <c r="M231" s="736"/>
    </row>
    <row r="232" spans="1:13" ht="15.75" thickBot="1">
      <c r="A232" s="616"/>
      <c r="B232" s="187"/>
      <c r="C232" s="441"/>
      <c r="D232" s="187">
        <v>451</v>
      </c>
      <c r="E232" s="287"/>
      <c r="F232" s="540"/>
      <c r="G232" s="490" t="s">
        <v>155</v>
      </c>
      <c r="H232" s="476"/>
      <c r="I232" s="634"/>
      <c r="J232" s="896"/>
      <c r="K232" s="943"/>
      <c r="M232" s="736"/>
    </row>
    <row r="233" spans="1:13">
      <c r="A233" s="616"/>
      <c r="B233" s="187"/>
      <c r="C233" s="441" t="s">
        <v>4119</v>
      </c>
      <c r="D233" s="187">
        <v>451</v>
      </c>
      <c r="E233" s="567">
        <v>95</v>
      </c>
      <c r="F233" s="462">
        <v>423</v>
      </c>
      <c r="G233" s="624" t="s">
        <v>3773</v>
      </c>
      <c r="H233" s="625">
        <v>0</v>
      </c>
      <c r="I233" s="1005">
        <v>0</v>
      </c>
      <c r="J233" s="1005">
        <f>H233-I233</f>
        <v>0</v>
      </c>
      <c r="K233" s="946">
        <v>0</v>
      </c>
      <c r="M233" s="736"/>
    </row>
    <row r="234" spans="1:13" ht="15.75" thickBot="1">
      <c r="A234" s="616"/>
      <c r="B234" s="187"/>
      <c r="C234" s="441" t="s">
        <v>4119</v>
      </c>
      <c r="D234" s="187">
        <v>451</v>
      </c>
      <c r="E234" s="327">
        <v>96</v>
      </c>
      <c r="F234" s="622">
        <v>511</v>
      </c>
      <c r="G234" s="626" t="s">
        <v>4035</v>
      </c>
      <c r="H234" s="627">
        <v>1000000</v>
      </c>
      <c r="I234" s="1006">
        <v>0</v>
      </c>
      <c r="J234" s="1008">
        <f>H234-I234</f>
        <v>1000000</v>
      </c>
      <c r="K234" s="948">
        <v>0</v>
      </c>
      <c r="M234" s="736"/>
    </row>
    <row r="235" spans="1:13" ht="51.75" customHeight="1" thickBot="1">
      <c r="A235" s="616"/>
      <c r="B235" s="187"/>
      <c r="C235" s="441"/>
      <c r="D235" s="187"/>
      <c r="E235" s="187"/>
      <c r="F235" s="1248" t="s">
        <v>4741</v>
      </c>
      <c r="G235" s="1249"/>
      <c r="H235" s="344">
        <f>SUM(H230:H234)</f>
        <v>1000000</v>
      </c>
      <c r="I235" s="349">
        <f t="shared" ref="I235:J235" si="18">SUM(I230:I234)</f>
        <v>0</v>
      </c>
      <c r="J235" s="591">
        <f t="shared" si="18"/>
        <v>1000000</v>
      </c>
      <c r="K235" s="972">
        <v>0</v>
      </c>
      <c r="M235" s="736"/>
    </row>
    <row r="236" spans="1:13" ht="15.75" thickBot="1">
      <c r="A236" s="616"/>
      <c r="B236" s="187"/>
      <c r="C236" s="441"/>
      <c r="D236" s="187"/>
      <c r="E236" s="1232"/>
      <c r="F236" s="1232"/>
      <c r="G236" s="1232"/>
      <c r="H236" s="1232"/>
      <c r="I236" s="1232"/>
      <c r="J236" s="1232"/>
      <c r="K236" s="1232"/>
      <c r="M236" s="736"/>
    </row>
    <row r="237" spans="1:13" ht="28.5">
      <c r="A237" s="616"/>
      <c r="B237" s="187"/>
      <c r="C237" s="345" t="s">
        <v>4120</v>
      </c>
      <c r="D237" s="187"/>
      <c r="E237" s="187"/>
      <c r="F237" s="491"/>
      <c r="G237" s="489" t="s">
        <v>4642</v>
      </c>
      <c r="H237" s="477"/>
      <c r="I237" s="635"/>
      <c r="J237" s="868"/>
      <c r="K237" s="942"/>
      <c r="M237" s="736"/>
    </row>
    <row r="238" spans="1:13" ht="15.75" thickBot="1">
      <c r="A238" s="616"/>
      <c r="B238" s="187"/>
      <c r="C238" s="441"/>
      <c r="D238" s="187">
        <v>451</v>
      </c>
      <c r="E238" s="287"/>
      <c r="F238" s="540"/>
      <c r="G238" s="490" t="s">
        <v>155</v>
      </c>
      <c r="H238" s="484"/>
      <c r="I238" s="860"/>
      <c r="J238" s="869"/>
      <c r="K238" s="943"/>
      <c r="M238" s="736"/>
    </row>
    <row r="239" spans="1:13" ht="18.75" customHeight="1" thickBot="1">
      <c r="A239" s="616"/>
      <c r="B239" s="187"/>
      <c r="C239" s="441" t="s">
        <v>4120</v>
      </c>
      <c r="D239" s="187">
        <v>451</v>
      </c>
      <c r="E239" s="327">
        <v>97</v>
      </c>
      <c r="F239" s="542">
        <v>511</v>
      </c>
      <c r="G239" s="543" t="s">
        <v>4035</v>
      </c>
      <c r="H239" s="556">
        <v>26000000</v>
      </c>
      <c r="I239" s="861">
        <v>0</v>
      </c>
      <c r="J239" s="900">
        <f>H239-I239</f>
        <v>26000000</v>
      </c>
      <c r="K239" s="944">
        <v>0</v>
      </c>
      <c r="L239" s="759"/>
      <c r="M239" s="736"/>
    </row>
    <row r="240" spans="1:13" ht="60" customHeight="1" thickBot="1">
      <c r="A240" s="616"/>
      <c r="B240" s="187"/>
      <c r="C240" s="441"/>
      <c r="D240" s="187"/>
      <c r="E240" s="187"/>
      <c r="F240" s="1248" t="s">
        <v>4739</v>
      </c>
      <c r="G240" s="1249"/>
      <c r="H240" s="344">
        <f>SUM(H237:H239)</f>
        <v>26000000</v>
      </c>
      <c r="I240" s="349">
        <f>SUM(I237:I239)</f>
        <v>0</v>
      </c>
      <c r="J240" s="349">
        <f>SUM(J237:J239)</f>
        <v>26000000</v>
      </c>
      <c r="K240" s="972">
        <v>0</v>
      </c>
      <c r="M240" s="736"/>
    </row>
    <row r="241" spans="1:13" ht="15.75" thickBot="1">
      <c r="A241" s="616"/>
      <c r="B241" s="187"/>
      <c r="C241" s="441"/>
      <c r="D241" s="187"/>
      <c r="E241" s="1232"/>
      <c r="F241" s="1232"/>
      <c r="G241" s="1232"/>
      <c r="H241" s="1232"/>
      <c r="I241" s="1232"/>
      <c r="J241" s="1232"/>
      <c r="K241" s="1232"/>
      <c r="M241" s="736"/>
    </row>
    <row r="242" spans="1:13" ht="28.5">
      <c r="A242" s="537"/>
      <c r="B242" s="187"/>
      <c r="C242" s="345" t="s">
        <v>4121</v>
      </c>
      <c r="D242" s="187"/>
      <c r="E242" s="187"/>
      <c r="F242" s="491"/>
      <c r="G242" s="489" t="s">
        <v>4572</v>
      </c>
      <c r="H242" s="477"/>
      <c r="I242" s="635"/>
      <c r="J242" s="868"/>
      <c r="K242" s="942"/>
      <c r="M242" s="736"/>
    </row>
    <row r="243" spans="1:13" ht="15.75" thickBot="1">
      <c r="A243" s="537"/>
      <c r="B243" s="187"/>
      <c r="C243" s="441"/>
      <c r="D243" s="187">
        <v>451</v>
      </c>
      <c r="E243" s="287"/>
      <c r="F243" s="540"/>
      <c r="G243" s="490" t="s">
        <v>155</v>
      </c>
      <c r="H243" s="484"/>
      <c r="I243" s="860"/>
      <c r="J243" s="869"/>
      <c r="K243" s="943"/>
      <c r="M243" s="736"/>
    </row>
    <row r="244" spans="1:13" ht="15.75" thickBot="1">
      <c r="A244" s="537"/>
      <c r="B244" s="187"/>
      <c r="C244" s="441" t="s">
        <v>4121</v>
      </c>
      <c r="D244" s="187">
        <v>451</v>
      </c>
      <c r="E244" s="327">
        <v>98</v>
      </c>
      <c r="F244" s="542">
        <v>511</v>
      </c>
      <c r="G244" s="543" t="s">
        <v>4035</v>
      </c>
      <c r="H244" s="556">
        <v>20000000</v>
      </c>
      <c r="I244" s="861">
        <v>0</v>
      </c>
      <c r="J244" s="900">
        <f>H244-I244</f>
        <v>20000000</v>
      </c>
      <c r="K244" s="944">
        <v>0</v>
      </c>
      <c r="M244" s="736"/>
    </row>
    <row r="245" spans="1:13" ht="64.5" customHeight="1" thickBot="1">
      <c r="A245" s="537"/>
      <c r="B245" s="187"/>
      <c r="C245" s="441"/>
      <c r="D245" s="187"/>
      <c r="E245" s="187"/>
      <c r="F245" s="1248" t="s">
        <v>4740</v>
      </c>
      <c r="G245" s="1249"/>
      <c r="H245" s="344">
        <f>SUM(H242:H244)</f>
        <v>20000000</v>
      </c>
      <c r="I245" s="349">
        <f>SUM(I242:I244)</f>
        <v>0</v>
      </c>
      <c r="J245" s="349">
        <f>SUM(J242:J244)</f>
        <v>20000000</v>
      </c>
      <c r="K245" s="971">
        <v>0</v>
      </c>
      <c r="M245" s="736"/>
    </row>
    <row r="246" spans="1:13" ht="102.75" customHeight="1" thickBot="1">
      <c r="A246" s="271"/>
      <c r="B246" s="274"/>
      <c r="C246" s="300"/>
      <c r="D246" s="301"/>
      <c r="E246" s="274"/>
      <c r="F246" s="1250" t="s">
        <v>4742</v>
      </c>
      <c r="G246" s="1251"/>
      <c r="H246" s="471">
        <f>H191+H199+H205+H211+H217+H223+H229+H235+H240+H245</f>
        <v>105900000</v>
      </c>
      <c r="I246" s="849">
        <f>I191+I199+I205+I211+I217+I223+I229+I235+I240+I245</f>
        <v>22729608.120000001</v>
      </c>
      <c r="J246" s="849">
        <f>J191+J199+J205+J211+J217+J223+J229+J235+J240+J245</f>
        <v>83170391.879999995</v>
      </c>
      <c r="K246" s="1001">
        <f>I246/H246*100</f>
        <v>21.463274900849861</v>
      </c>
      <c r="M246" s="736"/>
    </row>
    <row r="247" spans="1:13" ht="15.75" thickBot="1">
      <c r="A247" s="187"/>
      <c r="B247" s="187"/>
      <c r="C247" s="286"/>
      <c r="D247" s="190"/>
      <c r="E247" s="187"/>
      <c r="F247" s="187"/>
      <c r="G247" s="197"/>
      <c r="H247" s="250"/>
      <c r="I247" s="339"/>
      <c r="J247" s="339"/>
      <c r="M247" s="736"/>
    </row>
    <row r="248" spans="1:13" ht="29.25" thickBot="1">
      <c r="A248" s="1277"/>
      <c r="B248" s="1278"/>
      <c r="C248" s="1278"/>
      <c r="D248" s="1278"/>
      <c r="E248" s="1278"/>
      <c r="F248" s="505"/>
      <c r="G248" s="294" t="s">
        <v>4274</v>
      </c>
      <c r="H248" s="748"/>
      <c r="I248" s="830"/>
      <c r="J248" s="1275"/>
      <c r="K248" s="1276"/>
      <c r="M248" s="736"/>
    </row>
    <row r="249" spans="1:13" ht="28.5">
      <c r="A249" s="281"/>
      <c r="B249" s="282"/>
      <c r="C249" s="283" t="s">
        <v>3574</v>
      </c>
      <c r="D249" s="284"/>
      <c r="E249" s="284"/>
      <c r="F249" s="314"/>
      <c r="G249" s="751" t="s">
        <v>4275</v>
      </c>
      <c r="H249" s="1311"/>
      <c r="I249" s="1314"/>
      <c r="J249" s="1317"/>
      <c r="K249" s="942"/>
      <c r="M249" s="736"/>
    </row>
    <row r="250" spans="1:13">
      <c r="A250" s="805"/>
      <c r="B250" s="187"/>
      <c r="C250" s="286" t="s">
        <v>4383</v>
      </c>
      <c r="D250" s="190"/>
      <c r="E250" s="190"/>
      <c r="F250" s="315"/>
      <c r="G250" s="752" t="s">
        <v>4276</v>
      </c>
      <c r="H250" s="1312"/>
      <c r="I250" s="1315"/>
      <c r="J250" s="1318"/>
      <c r="K250" s="943"/>
      <c r="M250" s="736"/>
    </row>
    <row r="251" spans="1:13" ht="15.75" thickBot="1">
      <c r="A251" s="805"/>
      <c r="B251" s="187"/>
      <c r="C251" s="286"/>
      <c r="D251" s="187">
        <v>510</v>
      </c>
      <c r="E251" s="287"/>
      <c r="F251" s="472"/>
      <c r="G251" s="753" t="s">
        <v>176</v>
      </c>
      <c r="H251" s="1313"/>
      <c r="I251" s="1316"/>
      <c r="J251" s="1319"/>
      <c r="K251" s="945"/>
      <c r="M251" s="736"/>
    </row>
    <row r="252" spans="1:13" ht="15.75" thickBot="1">
      <c r="A252" s="805"/>
      <c r="B252" s="187"/>
      <c r="C252" s="289" t="s">
        <v>4383</v>
      </c>
      <c r="D252" s="187">
        <v>510</v>
      </c>
      <c r="E252" s="187">
        <v>99</v>
      </c>
      <c r="F252" s="516">
        <v>424</v>
      </c>
      <c r="G252" s="750" t="s">
        <v>3775</v>
      </c>
      <c r="H252" s="402">
        <v>14530000</v>
      </c>
      <c r="I252" s="1011">
        <v>9485236.4299999997</v>
      </c>
      <c r="J252" s="594">
        <f>H252-I252</f>
        <v>5044763.57</v>
      </c>
      <c r="K252" s="944">
        <v>65.28</v>
      </c>
      <c r="M252" s="736"/>
    </row>
    <row r="253" spans="1:13" ht="35.25" customHeight="1" thickBot="1">
      <c r="A253" s="805"/>
      <c r="B253" s="187"/>
      <c r="C253" s="289"/>
      <c r="D253" s="187"/>
      <c r="E253" s="187"/>
      <c r="F253" s="1248" t="s">
        <v>4583</v>
      </c>
      <c r="G253" s="1249"/>
      <c r="H253" s="344">
        <f>SUM(H252:H252)</f>
        <v>14530000</v>
      </c>
      <c r="I253" s="349">
        <f>SUM(I252:I252)</f>
        <v>9485236.4299999997</v>
      </c>
      <c r="J253" s="914">
        <f>SUM(J252:J252)</f>
        <v>5044763.57</v>
      </c>
      <c r="K253" s="971">
        <v>65.28</v>
      </c>
      <c r="M253" s="736"/>
    </row>
    <row r="254" spans="1:13" ht="15.75" thickBot="1">
      <c r="A254" s="805"/>
      <c r="B254" s="187"/>
      <c r="C254" s="286"/>
      <c r="D254" s="190"/>
      <c r="E254" s="187"/>
      <c r="F254" s="187"/>
      <c r="G254" s="197"/>
      <c r="H254" s="250"/>
      <c r="I254" s="339"/>
      <c r="J254" s="1254"/>
      <c r="K254" s="1255"/>
      <c r="M254" s="736"/>
    </row>
    <row r="255" spans="1:13">
      <c r="A255" s="805"/>
      <c r="B255" s="187"/>
      <c r="C255" s="286" t="s">
        <v>4380</v>
      </c>
      <c r="D255" s="190"/>
      <c r="E255" s="190"/>
      <c r="F255" s="314"/>
      <c r="G255" s="310" t="s">
        <v>177</v>
      </c>
      <c r="H255" s="291"/>
      <c r="I255" s="825"/>
      <c r="J255" s="841"/>
      <c r="K255" s="942"/>
      <c r="M255" s="736"/>
    </row>
    <row r="256" spans="1:13" ht="15.75" thickBot="1">
      <c r="A256" s="805"/>
      <c r="B256" s="187"/>
      <c r="C256" s="286"/>
      <c r="D256" s="187">
        <v>520</v>
      </c>
      <c r="E256" s="287"/>
      <c r="F256" s="297"/>
      <c r="G256" s="312" t="s">
        <v>177</v>
      </c>
      <c r="H256" s="292"/>
      <c r="I256" s="339"/>
      <c r="J256" s="340"/>
      <c r="K256" s="943"/>
      <c r="M256" s="736"/>
    </row>
    <row r="257" spans="1:13">
      <c r="A257" s="805"/>
      <c r="B257" s="187"/>
      <c r="C257" s="289" t="s">
        <v>4380</v>
      </c>
      <c r="D257" s="187">
        <v>520</v>
      </c>
      <c r="E257" s="567">
        <v>100</v>
      </c>
      <c r="F257" s="780">
        <v>4512</v>
      </c>
      <c r="G257" s="781" t="s">
        <v>4561</v>
      </c>
      <c r="H257" s="602">
        <v>0</v>
      </c>
      <c r="I257" s="940">
        <v>0</v>
      </c>
      <c r="J257" s="1009">
        <f>H257-I257</f>
        <v>0</v>
      </c>
      <c r="K257" s="946">
        <v>0</v>
      </c>
      <c r="M257" s="736"/>
    </row>
    <row r="258" spans="1:13" ht="15.75" thickBot="1">
      <c r="A258" s="805"/>
      <c r="B258" s="187"/>
      <c r="C258" s="289" t="s">
        <v>4380</v>
      </c>
      <c r="D258" s="187">
        <v>520</v>
      </c>
      <c r="E258" s="327">
        <v>101</v>
      </c>
      <c r="F258" s="566">
        <v>511</v>
      </c>
      <c r="G258" s="571" t="s">
        <v>4035</v>
      </c>
      <c r="H258" s="620">
        <v>4800000</v>
      </c>
      <c r="I258" s="862">
        <v>134800</v>
      </c>
      <c r="J258" s="934">
        <f>H258-I258</f>
        <v>4665200</v>
      </c>
      <c r="K258" s="948">
        <v>2.8</v>
      </c>
      <c r="M258" s="736"/>
    </row>
    <row r="259" spans="1:13" ht="52.5" customHeight="1" thickBot="1">
      <c r="A259" s="805"/>
      <c r="B259" s="187"/>
      <c r="C259" s="289"/>
      <c r="D259" s="187"/>
      <c r="E259" s="187"/>
      <c r="F259" s="1248" t="s">
        <v>4719</v>
      </c>
      <c r="G259" s="1249"/>
      <c r="H259" s="344">
        <f>SUM(H257:H258)</f>
        <v>4800000</v>
      </c>
      <c r="I259" s="831">
        <f>I257+I258</f>
        <v>134800</v>
      </c>
      <c r="J259" s="870">
        <f>J257+J258</f>
        <v>4665200</v>
      </c>
      <c r="K259" s="972">
        <v>0</v>
      </c>
      <c r="M259" s="736"/>
    </row>
    <row r="260" spans="1:13" ht="15.75" thickBot="1">
      <c r="A260" s="805"/>
      <c r="B260" s="187"/>
      <c r="C260" s="289"/>
      <c r="D260" s="187"/>
      <c r="E260" s="187"/>
      <c r="F260" s="187"/>
      <c r="G260" s="320"/>
      <c r="H260" s="250"/>
      <c r="I260" s="339"/>
      <c r="J260" s="1235"/>
      <c r="K260" s="1236"/>
      <c r="M260" s="736"/>
    </row>
    <row r="261" spans="1:13" ht="57">
      <c r="A261" s="805"/>
      <c r="B261" s="187"/>
      <c r="C261" s="286" t="s">
        <v>4382</v>
      </c>
      <c r="D261" s="190"/>
      <c r="E261" s="190"/>
      <c r="F261" s="719"/>
      <c r="G261" s="479" t="s">
        <v>4451</v>
      </c>
      <c r="H261" s="720"/>
      <c r="I261" s="863"/>
      <c r="J261" s="867"/>
      <c r="K261" s="942"/>
      <c r="M261" s="736"/>
    </row>
    <row r="262" spans="1:13" ht="15.75" thickBot="1">
      <c r="A262" s="805"/>
      <c r="B262" s="187"/>
      <c r="C262" s="286"/>
      <c r="D262" s="187">
        <v>520</v>
      </c>
      <c r="E262" s="287"/>
      <c r="F262" s="472"/>
      <c r="G262" s="488" t="s">
        <v>177</v>
      </c>
      <c r="H262" s="298"/>
      <c r="I262" s="826"/>
      <c r="J262" s="850"/>
      <c r="K262" s="943"/>
      <c r="M262" s="736"/>
    </row>
    <row r="263" spans="1:13" ht="15.75" thickBot="1">
      <c r="A263" s="805"/>
      <c r="B263" s="187"/>
      <c r="C263" s="289" t="s">
        <v>4382</v>
      </c>
      <c r="D263" s="187">
        <v>520</v>
      </c>
      <c r="E263" s="187">
        <v>102</v>
      </c>
      <c r="F263" s="516">
        <v>511</v>
      </c>
      <c r="G263" s="518" t="s">
        <v>4035</v>
      </c>
      <c r="H263" s="517">
        <v>12000000</v>
      </c>
      <c r="I263" s="827">
        <v>0</v>
      </c>
      <c r="J263" s="894">
        <f>H263-I263</f>
        <v>12000000</v>
      </c>
      <c r="K263" s="944">
        <v>0</v>
      </c>
      <c r="M263" s="736"/>
    </row>
    <row r="264" spans="1:13" ht="42" customHeight="1" thickBot="1">
      <c r="A264" s="805"/>
      <c r="B264" s="187"/>
      <c r="C264" s="289"/>
      <c r="D264" s="187"/>
      <c r="E264" s="187"/>
      <c r="F264" s="1248" t="s">
        <v>4677</v>
      </c>
      <c r="G264" s="1249"/>
      <c r="H264" s="344">
        <f>H263</f>
        <v>12000000</v>
      </c>
      <c r="I264" s="870">
        <f>I263</f>
        <v>0</v>
      </c>
      <c r="J264" s="831">
        <f>J263</f>
        <v>12000000</v>
      </c>
      <c r="K264" s="972">
        <v>0</v>
      </c>
      <c r="M264" s="736"/>
    </row>
    <row r="265" spans="1:13" ht="15.75" thickBot="1">
      <c r="A265" s="805"/>
      <c r="B265" s="187"/>
      <c r="C265" s="289"/>
      <c r="D265" s="187"/>
      <c r="E265" s="187"/>
      <c r="F265" s="187"/>
      <c r="G265" s="320"/>
      <c r="H265" s="250"/>
      <c r="I265" s="339"/>
      <c r="J265" s="1235"/>
      <c r="K265" s="1236"/>
      <c r="M265" s="736"/>
    </row>
    <row r="266" spans="1:13" ht="28.5">
      <c r="A266" s="805"/>
      <c r="B266" s="187"/>
      <c r="C266" s="286" t="s">
        <v>4498</v>
      </c>
      <c r="D266" s="190"/>
      <c r="E266" s="190"/>
      <c r="F266" s="719"/>
      <c r="G266" s="479" t="s">
        <v>4646</v>
      </c>
      <c r="H266" s="720"/>
      <c r="I266" s="863"/>
      <c r="J266" s="867"/>
      <c r="K266" s="942"/>
      <c r="M266" s="736"/>
    </row>
    <row r="267" spans="1:13" ht="15.75" thickBot="1">
      <c r="A267" s="805"/>
      <c r="B267" s="187"/>
      <c r="C267" s="286"/>
      <c r="D267" s="187">
        <v>520</v>
      </c>
      <c r="E267" s="287"/>
      <c r="F267" s="472"/>
      <c r="G267" s="488" t="s">
        <v>177</v>
      </c>
      <c r="H267" s="298"/>
      <c r="I267" s="826"/>
      <c r="J267" s="850"/>
      <c r="K267" s="943"/>
      <c r="M267" s="736"/>
    </row>
    <row r="268" spans="1:13" ht="15.75" thickBot="1">
      <c r="A268" s="805"/>
      <c r="B268" s="187"/>
      <c r="C268" s="289" t="s">
        <v>4498</v>
      </c>
      <c r="D268" s="187">
        <v>520</v>
      </c>
      <c r="E268" s="187" t="s">
        <v>4647</v>
      </c>
      <c r="F268" s="516">
        <v>512</v>
      </c>
      <c r="G268" s="518" t="s">
        <v>4036</v>
      </c>
      <c r="H268" s="517">
        <v>4100000</v>
      </c>
      <c r="I268" s="827">
        <v>0</v>
      </c>
      <c r="J268" s="894">
        <f>H268-I268</f>
        <v>4100000</v>
      </c>
      <c r="K268" s="944">
        <v>0</v>
      </c>
      <c r="M268" s="736"/>
    </row>
    <row r="269" spans="1:13" ht="54" customHeight="1" thickBot="1">
      <c r="A269" s="805"/>
      <c r="B269" s="187"/>
      <c r="C269" s="289"/>
      <c r="D269" s="187"/>
      <c r="E269" s="187"/>
      <c r="F269" s="1248" t="s">
        <v>4743</v>
      </c>
      <c r="G269" s="1249"/>
      <c r="H269" s="344">
        <f>H268</f>
        <v>4100000</v>
      </c>
      <c r="I269" s="831">
        <f>I268</f>
        <v>0</v>
      </c>
      <c r="J269" s="870">
        <f>J268</f>
        <v>4100000</v>
      </c>
      <c r="K269" s="972">
        <v>0</v>
      </c>
      <c r="M269" s="736"/>
    </row>
    <row r="270" spans="1:13" ht="15.75" thickBot="1">
      <c r="A270" s="805"/>
      <c r="B270" s="187"/>
      <c r="C270" s="289"/>
      <c r="D270" s="187"/>
      <c r="E270" s="187"/>
      <c r="F270" s="187"/>
      <c r="G270" s="320"/>
      <c r="H270" s="250"/>
      <c r="I270" s="339"/>
      <c r="J270" s="1235"/>
      <c r="K270" s="1236"/>
      <c r="M270" s="736"/>
    </row>
    <row r="271" spans="1:13">
      <c r="A271" s="805"/>
      <c r="B271" s="187"/>
      <c r="C271" s="286" t="s">
        <v>3970</v>
      </c>
      <c r="D271" s="190"/>
      <c r="E271" s="190"/>
      <c r="F271" s="314"/>
      <c r="G271" s="310" t="s">
        <v>4473</v>
      </c>
      <c r="H271" s="291"/>
      <c r="I271" s="825"/>
      <c r="J271" s="841"/>
      <c r="K271" s="942"/>
      <c r="M271" s="736"/>
    </row>
    <row r="272" spans="1:13" ht="30.75" thickBot="1">
      <c r="A272" s="805"/>
      <c r="B272" s="187"/>
      <c r="C272" s="286"/>
      <c r="D272" s="187">
        <v>560</v>
      </c>
      <c r="E272" s="287"/>
      <c r="F272" s="472"/>
      <c r="G272" s="488" t="s">
        <v>181</v>
      </c>
      <c r="H272" s="298"/>
      <c r="I272" s="826"/>
      <c r="J272" s="850"/>
      <c r="K272" s="943"/>
      <c r="M272" s="736"/>
    </row>
    <row r="273" spans="1:13">
      <c r="A273" s="805"/>
      <c r="B273" s="187"/>
      <c r="C273" s="289" t="s">
        <v>3970</v>
      </c>
      <c r="D273" s="187">
        <v>560</v>
      </c>
      <c r="E273" s="555">
        <v>103.104</v>
      </c>
      <c r="F273" s="462">
        <v>421</v>
      </c>
      <c r="G273" s="576" t="s">
        <v>3771</v>
      </c>
      <c r="H273" s="578">
        <v>450000</v>
      </c>
      <c r="I273" s="864">
        <v>315000</v>
      </c>
      <c r="J273" s="935">
        <f>H273-I273</f>
        <v>135000</v>
      </c>
      <c r="K273" s="946">
        <v>70</v>
      </c>
      <c r="M273" s="736"/>
    </row>
    <row r="274" spans="1:13">
      <c r="A274" s="805"/>
      <c r="B274" s="187"/>
      <c r="C274" s="289" t="s">
        <v>3970</v>
      </c>
      <c r="D274" s="187">
        <v>560</v>
      </c>
      <c r="E274" s="555">
        <v>104</v>
      </c>
      <c r="F274" s="1012">
        <v>424</v>
      </c>
      <c r="G274" s="1013" t="s">
        <v>3775</v>
      </c>
      <c r="H274" s="1014">
        <v>800000</v>
      </c>
      <c r="I274" s="954">
        <v>792000</v>
      </c>
      <c r="J274" s="644">
        <f>H274-I274</f>
        <v>8000</v>
      </c>
      <c r="K274" s="947">
        <v>99</v>
      </c>
      <c r="M274" s="736"/>
    </row>
    <row r="275" spans="1:13" ht="15.75" thickBot="1">
      <c r="A275" s="805"/>
      <c r="B275" s="187"/>
      <c r="C275" s="289" t="s">
        <v>3970</v>
      </c>
      <c r="D275" s="187">
        <v>560</v>
      </c>
      <c r="E275" s="187">
        <v>105</v>
      </c>
      <c r="F275" s="271">
        <v>481</v>
      </c>
      <c r="G275" s="577" t="s">
        <v>4256</v>
      </c>
      <c r="H275" s="504">
        <v>750000</v>
      </c>
      <c r="I275" s="850">
        <v>0</v>
      </c>
      <c r="J275" s="644">
        <f>H275-I275</f>
        <v>750000</v>
      </c>
      <c r="K275" s="948">
        <v>0</v>
      </c>
      <c r="M275" s="736"/>
    </row>
    <row r="276" spans="1:13" ht="30.75" customHeight="1" thickBot="1">
      <c r="A276" s="805"/>
      <c r="B276" s="187"/>
      <c r="C276" s="289"/>
      <c r="D276" s="187"/>
      <c r="E276" s="187"/>
      <c r="F276" s="1248" t="s">
        <v>4582</v>
      </c>
      <c r="G276" s="1249"/>
      <c r="H276" s="344">
        <f>SUM(H273:H275)</f>
        <v>2000000</v>
      </c>
      <c r="I276" s="831">
        <f>SUM(I273:I275)</f>
        <v>1107000</v>
      </c>
      <c r="J276" s="870">
        <f>SUM(J273:J275)</f>
        <v>893000</v>
      </c>
      <c r="K276" s="971">
        <f>I276/H276*100</f>
        <v>55.35</v>
      </c>
      <c r="M276" s="736"/>
    </row>
    <row r="277" spans="1:13" ht="84.75" customHeight="1" thickBot="1">
      <c r="A277" s="271"/>
      <c r="B277" s="274"/>
      <c r="C277" s="290"/>
      <c r="D277" s="274"/>
      <c r="E277" s="274"/>
      <c r="F277" s="1250" t="s">
        <v>4744</v>
      </c>
      <c r="G277" s="1251"/>
      <c r="H277" s="575">
        <f>H253+H264+H259+H276+H269</f>
        <v>37430000</v>
      </c>
      <c r="I277" s="865">
        <f>I253+I264+I259+I276+I269</f>
        <v>10727036.43</v>
      </c>
      <c r="J277" s="849">
        <f>J253+J264+J259+J276+J269</f>
        <v>26702963.57</v>
      </c>
      <c r="K277" s="1010">
        <f>I277/H277*100</f>
        <v>28.658927144002138</v>
      </c>
      <c r="M277" s="736"/>
    </row>
    <row r="278" spans="1:13" ht="15.75" thickBot="1">
      <c r="A278" s="187"/>
      <c r="B278" s="187"/>
      <c r="C278" s="286"/>
      <c r="D278" s="190"/>
      <c r="E278" s="187"/>
      <c r="F278" s="187"/>
      <c r="G278" s="197"/>
      <c r="H278" s="250"/>
      <c r="I278" s="339"/>
      <c r="J278" s="339"/>
      <c r="M278" s="736"/>
    </row>
    <row r="279" spans="1:13" ht="25.5" customHeight="1">
      <c r="A279" s="281"/>
      <c r="B279" s="282"/>
      <c r="C279" s="283" t="s">
        <v>4334</v>
      </c>
      <c r="D279" s="284"/>
      <c r="E279" s="284"/>
      <c r="F279" s="314"/>
      <c r="G279" s="755" t="s">
        <v>4272</v>
      </c>
      <c r="H279" s="756"/>
      <c r="I279" s="458"/>
      <c r="J279" s="458"/>
      <c r="K279" s="942"/>
      <c r="M279" s="736"/>
    </row>
    <row r="280" spans="1:13" ht="20.25" customHeight="1">
      <c r="A280" s="805"/>
      <c r="B280" s="187"/>
      <c r="C280" s="195" t="s">
        <v>4347</v>
      </c>
      <c r="D280" s="187"/>
      <c r="E280" s="187"/>
      <c r="F280" s="296"/>
      <c r="G280" s="469" t="s">
        <v>4348</v>
      </c>
      <c r="H280" s="306"/>
      <c r="I280" s="340"/>
      <c r="J280" s="340"/>
      <c r="K280" s="943"/>
      <c r="M280" s="736"/>
    </row>
    <row r="281" spans="1:13" ht="15" customHeight="1" thickBot="1">
      <c r="A281" s="805"/>
      <c r="B281" s="187"/>
      <c r="C281" s="320"/>
      <c r="D281" s="366" t="s">
        <v>3928</v>
      </c>
      <c r="E281" s="287"/>
      <c r="F281" s="297"/>
      <c r="G281" s="782" t="s">
        <v>4349</v>
      </c>
      <c r="H281" s="306"/>
      <c r="I281" s="340"/>
      <c r="J281" s="340"/>
      <c r="K281" s="943"/>
      <c r="M281" s="736"/>
    </row>
    <row r="282" spans="1:13" ht="25.5" customHeight="1">
      <c r="A282" s="805"/>
      <c r="B282" s="187"/>
      <c r="C282" s="289" t="s">
        <v>4347</v>
      </c>
      <c r="D282" s="187">
        <v>560</v>
      </c>
      <c r="E282" s="187">
        <v>106</v>
      </c>
      <c r="F282" s="406">
        <v>421</v>
      </c>
      <c r="G282" s="463" t="s">
        <v>3771</v>
      </c>
      <c r="H282" s="404">
        <v>15300000</v>
      </c>
      <c r="I282" s="413">
        <v>10687006</v>
      </c>
      <c r="J282" s="593">
        <f>H282-I282</f>
        <v>4612994</v>
      </c>
      <c r="K282" s="946">
        <v>69.849999999999994</v>
      </c>
      <c r="M282" s="736"/>
    </row>
    <row r="283" spans="1:13" ht="25.5" customHeight="1" thickBot="1">
      <c r="A283" s="805"/>
      <c r="B283" s="187"/>
      <c r="C283" s="289" t="s">
        <v>4347</v>
      </c>
      <c r="D283" s="327">
        <v>560</v>
      </c>
      <c r="E283" s="327" t="s">
        <v>4641</v>
      </c>
      <c r="F283" s="1016">
        <v>425</v>
      </c>
      <c r="G283" s="1027" t="s">
        <v>4030</v>
      </c>
      <c r="H283" s="1019">
        <v>270000</v>
      </c>
      <c r="I283" s="960">
        <v>247098</v>
      </c>
      <c r="J283" s="929">
        <f>H283-I283</f>
        <v>22902</v>
      </c>
      <c r="K283" s="948">
        <v>91.51</v>
      </c>
      <c r="M283" s="736"/>
    </row>
    <row r="284" spans="1:13" ht="32.25" customHeight="1" thickBot="1">
      <c r="A284" s="805"/>
      <c r="B284" s="187"/>
      <c r="C284" s="286"/>
      <c r="D284" s="190"/>
      <c r="E284" s="187"/>
      <c r="F284" s="1237" t="s">
        <v>4568</v>
      </c>
      <c r="G284" s="1238"/>
      <c r="H284" s="405">
        <f>H282+H283</f>
        <v>15570000</v>
      </c>
      <c r="I284" s="591">
        <f>I282+I283</f>
        <v>10934104</v>
      </c>
      <c r="J284" s="591">
        <f>J282+J283</f>
        <v>4635896</v>
      </c>
      <c r="K284" s="972">
        <f>I284/H284*100</f>
        <v>70.225459216441877</v>
      </c>
      <c r="M284" s="736"/>
    </row>
    <row r="285" spans="1:13" ht="18" customHeight="1" thickBot="1">
      <c r="A285" s="805"/>
      <c r="B285" s="187"/>
      <c r="C285" s="286"/>
      <c r="D285" s="190"/>
      <c r="E285" s="187"/>
      <c r="F285" s="187"/>
      <c r="G285" s="197"/>
      <c r="H285" s="250"/>
      <c r="I285" s="339"/>
      <c r="J285" s="1235"/>
      <c r="K285" s="1236"/>
      <c r="M285" s="736"/>
    </row>
    <row r="286" spans="1:13" ht="20.25" customHeight="1">
      <c r="A286" s="805"/>
      <c r="B286" s="187"/>
      <c r="C286" s="195" t="s">
        <v>4350</v>
      </c>
      <c r="D286" s="187"/>
      <c r="E286" s="187"/>
      <c r="F286" s="539"/>
      <c r="G286" s="473" t="s">
        <v>4351</v>
      </c>
      <c r="H286" s="291"/>
      <c r="I286" s="825"/>
      <c r="J286" s="841"/>
      <c r="K286" s="942"/>
      <c r="M286" s="736"/>
    </row>
    <row r="287" spans="1:13" ht="32.25" customHeight="1" thickBot="1">
      <c r="A287" s="805"/>
      <c r="B287" s="187"/>
      <c r="C287" s="320"/>
      <c r="D287" s="366" t="s">
        <v>3928</v>
      </c>
      <c r="E287" s="287"/>
      <c r="F287" s="297"/>
      <c r="G287" s="782" t="s">
        <v>181</v>
      </c>
      <c r="H287" s="292"/>
      <c r="I287" s="339"/>
      <c r="J287" s="340"/>
      <c r="K287" s="943"/>
      <c r="M287" s="736"/>
    </row>
    <row r="288" spans="1:13" ht="18" customHeight="1">
      <c r="A288" s="805"/>
      <c r="B288" s="187"/>
      <c r="C288" s="289" t="s">
        <v>4350</v>
      </c>
      <c r="D288" s="187">
        <v>560</v>
      </c>
      <c r="E288" s="187">
        <v>107</v>
      </c>
      <c r="F288" s="406">
        <v>421</v>
      </c>
      <c r="G288" s="463" t="s">
        <v>3771</v>
      </c>
      <c r="H288" s="404">
        <v>24000000</v>
      </c>
      <c r="I288" s="413">
        <v>17650073.5</v>
      </c>
      <c r="J288" s="593">
        <f>H288-I288</f>
        <v>6349926.5</v>
      </c>
      <c r="K288" s="946">
        <v>73.540000000000006</v>
      </c>
      <c r="M288" s="736"/>
    </row>
    <row r="289" spans="1:13" ht="19.5" customHeight="1">
      <c r="A289" s="805"/>
      <c r="B289" s="187"/>
      <c r="C289" s="289" t="s">
        <v>4350</v>
      </c>
      <c r="D289" s="187">
        <v>560</v>
      </c>
      <c r="E289" s="187">
        <v>108</v>
      </c>
      <c r="F289" s="1015">
        <v>4512</v>
      </c>
      <c r="G289" s="1017" t="s">
        <v>4273</v>
      </c>
      <c r="H289" s="411">
        <v>2450000</v>
      </c>
      <c r="I289" s="954">
        <v>2412000</v>
      </c>
      <c r="J289" s="644">
        <f>H289-I289</f>
        <v>38000</v>
      </c>
      <c r="K289" s="947">
        <v>98.44</v>
      </c>
      <c r="M289" s="736"/>
    </row>
    <row r="290" spans="1:13" ht="19.5" customHeight="1" thickBot="1">
      <c r="A290" s="805"/>
      <c r="B290" s="187"/>
      <c r="C290" s="289" t="s">
        <v>4350</v>
      </c>
      <c r="D290" s="187">
        <v>560</v>
      </c>
      <c r="E290" s="187" t="s">
        <v>4655</v>
      </c>
      <c r="F290" s="1016">
        <v>621</v>
      </c>
      <c r="G290" s="1018" t="s">
        <v>4654</v>
      </c>
      <c r="H290" s="1019">
        <v>4300000</v>
      </c>
      <c r="I290" s="960">
        <v>2093119.49</v>
      </c>
      <c r="J290" s="919">
        <f>H290-I290</f>
        <v>2206880.5099999998</v>
      </c>
      <c r="K290" s="948">
        <v>48.67</v>
      </c>
      <c r="M290" s="736"/>
    </row>
    <row r="291" spans="1:13" ht="35.25" customHeight="1" thickBot="1">
      <c r="A291" s="805"/>
      <c r="B291" s="187"/>
      <c r="C291" s="286"/>
      <c r="D291" s="190"/>
      <c r="E291" s="187"/>
      <c r="F291" s="1237" t="s">
        <v>4680</v>
      </c>
      <c r="G291" s="1238"/>
      <c r="H291" s="405">
        <f>H288+H289+H290</f>
        <v>30750000</v>
      </c>
      <c r="I291" s="591">
        <f>I288+I289+I290</f>
        <v>22155192.989999998</v>
      </c>
      <c r="J291" s="349">
        <f>J288+J289+J290</f>
        <v>8594807.0099999998</v>
      </c>
      <c r="K291" s="972">
        <f>I291/H291*100</f>
        <v>72.049408097560971</v>
      </c>
      <c r="M291" s="736"/>
    </row>
    <row r="292" spans="1:13" ht="13.5" customHeight="1" thickBot="1">
      <c r="A292" s="805"/>
      <c r="B292" s="187"/>
      <c r="C292" s="286"/>
      <c r="D292" s="190"/>
      <c r="E292" s="1279"/>
      <c r="F292" s="1279"/>
      <c r="G292" s="1279"/>
      <c r="H292" s="1279"/>
      <c r="I292" s="1279"/>
      <c r="J292" s="1279"/>
      <c r="K292" s="1280"/>
      <c r="M292" s="736"/>
    </row>
    <row r="293" spans="1:13" ht="16.5" customHeight="1">
      <c r="A293" s="805"/>
      <c r="B293" s="187"/>
      <c r="C293" s="195" t="s">
        <v>4335</v>
      </c>
      <c r="D293" s="187"/>
      <c r="E293" s="187"/>
      <c r="F293" s="539"/>
      <c r="G293" s="294" t="s">
        <v>4355</v>
      </c>
      <c r="H293" s="291"/>
      <c r="I293" s="825"/>
      <c r="J293" s="841"/>
      <c r="K293" s="942"/>
      <c r="M293" s="736"/>
    </row>
    <row r="294" spans="1:13" ht="16.5" customHeight="1" thickBot="1">
      <c r="A294" s="805"/>
      <c r="B294" s="187"/>
      <c r="C294" s="320"/>
      <c r="D294" s="366" t="s">
        <v>3933</v>
      </c>
      <c r="E294" s="287"/>
      <c r="F294" s="297"/>
      <c r="G294" s="193" t="s">
        <v>185</v>
      </c>
      <c r="H294" s="292"/>
      <c r="I294" s="339"/>
      <c r="J294" s="340"/>
      <c r="K294" s="943"/>
      <c r="M294" s="736"/>
    </row>
    <row r="295" spans="1:13" ht="15.75" customHeight="1">
      <c r="A295" s="805"/>
      <c r="B295" s="187"/>
      <c r="C295" s="289" t="s">
        <v>4335</v>
      </c>
      <c r="D295" s="187">
        <v>630</v>
      </c>
      <c r="E295" s="187">
        <v>121</v>
      </c>
      <c r="F295" s="437">
        <v>451</v>
      </c>
      <c r="G295" s="1022" t="s">
        <v>4653</v>
      </c>
      <c r="H295" s="1020">
        <v>9000000</v>
      </c>
      <c r="I295" s="593">
        <v>7440963.4299999997</v>
      </c>
      <c r="J295" s="413">
        <f>H295-I295</f>
        <v>1559036.5700000003</v>
      </c>
      <c r="K295" s="973">
        <v>82.67</v>
      </c>
      <c r="L295" s="1170"/>
      <c r="M295" s="736"/>
    </row>
    <row r="296" spans="1:13" ht="17.25" customHeight="1">
      <c r="A296" s="805"/>
      <c r="B296" s="187"/>
      <c r="C296" s="289" t="s">
        <v>4335</v>
      </c>
      <c r="D296" s="187">
        <v>630</v>
      </c>
      <c r="E296" s="187" t="s">
        <v>4630</v>
      </c>
      <c r="F296" s="1025">
        <v>621</v>
      </c>
      <c r="G296" s="1023" t="s">
        <v>4654</v>
      </c>
      <c r="H296" s="983">
        <v>15600000</v>
      </c>
      <c r="I296" s="644">
        <v>1902000</v>
      </c>
      <c r="J296" s="954">
        <f>H296-I296</f>
        <v>13698000</v>
      </c>
      <c r="K296" s="974">
        <v>12.19</v>
      </c>
      <c r="L296" s="1170"/>
      <c r="M296" s="736"/>
    </row>
    <row r="297" spans="1:13" ht="16.5" customHeight="1" thickBot="1">
      <c r="A297" s="805"/>
      <c r="B297" s="187"/>
      <c r="C297" s="289" t="s">
        <v>4335</v>
      </c>
      <c r="D297" s="187">
        <v>630</v>
      </c>
      <c r="E297" s="187">
        <v>122</v>
      </c>
      <c r="F297" s="1026">
        <v>511</v>
      </c>
      <c r="G297" s="1024" t="s">
        <v>4035</v>
      </c>
      <c r="H297" s="984">
        <v>2000000</v>
      </c>
      <c r="I297" s="915">
        <v>288100</v>
      </c>
      <c r="J297" s="1021">
        <f>H297-I297</f>
        <v>1711900</v>
      </c>
      <c r="K297" s="975">
        <v>14.4</v>
      </c>
      <c r="L297" s="1170"/>
      <c r="M297" s="736"/>
    </row>
    <row r="298" spans="1:13" ht="62.25" customHeight="1" thickBot="1">
      <c r="A298" s="805"/>
      <c r="B298" s="187"/>
      <c r="C298" s="289"/>
      <c r="D298" s="187"/>
      <c r="E298" s="187"/>
      <c r="F298" s="1237" t="s">
        <v>4745</v>
      </c>
      <c r="G298" s="1238"/>
      <c r="H298" s="405">
        <f>SUM(H295:H297)</f>
        <v>26600000</v>
      </c>
      <c r="I298" s="591">
        <f>SUM(I295:I297)</f>
        <v>9631063.4299999997</v>
      </c>
      <c r="J298" s="591">
        <f>SUM(J295:J297)</f>
        <v>16968936.57</v>
      </c>
      <c r="K298" s="972">
        <f>I298/H298*100</f>
        <v>36.20700537593985</v>
      </c>
      <c r="L298" s="1170"/>
      <c r="M298" s="736"/>
    </row>
    <row r="299" spans="1:13" ht="12" customHeight="1" thickBot="1">
      <c r="A299" s="805"/>
      <c r="B299" s="187"/>
      <c r="C299" s="289"/>
      <c r="D299" s="187"/>
      <c r="E299" s="1232"/>
      <c r="F299" s="1232"/>
      <c r="G299" s="1232"/>
      <c r="H299" s="1232"/>
      <c r="I299" s="1232"/>
      <c r="J299" s="1232"/>
      <c r="K299" s="1233"/>
      <c r="L299" s="1170"/>
      <c r="M299" s="736"/>
    </row>
    <row r="300" spans="1:13" ht="33" customHeight="1" thickBot="1">
      <c r="A300" s="805"/>
      <c r="B300" s="187"/>
      <c r="C300" s="286" t="s">
        <v>4336</v>
      </c>
      <c r="D300" s="190"/>
      <c r="E300" s="187"/>
      <c r="F300" s="333"/>
      <c r="G300" s="434" t="s">
        <v>4562</v>
      </c>
      <c r="H300" s="662"/>
      <c r="I300" s="867"/>
      <c r="J300" s="901"/>
      <c r="K300" s="942"/>
      <c r="L300" s="1170"/>
      <c r="M300" s="736"/>
    </row>
    <row r="301" spans="1:13" ht="18.75" customHeight="1">
      <c r="A301" s="805"/>
      <c r="B301" s="187"/>
      <c r="C301" s="289" t="s">
        <v>4336</v>
      </c>
      <c r="D301" s="187">
        <v>630</v>
      </c>
      <c r="E301" s="187">
        <v>123</v>
      </c>
      <c r="F301" s="406">
        <v>423</v>
      </c>
      <c r="G301" s="463" t="s">
        <v>3773</v>
      </c>
      <c r="H301" s="404">
        <v>100000</v>
      </c>
      <c r="I301" s="413">
        <v>58000</v>
      </c>
      <c r="J301" s="593">
        <f>H301-I301</f>
        <v>42000</v>
      </c>
      <c r="K301" s="946">
        <v>58</v>
      </c>
      <c r="L301" s="1170"/>
      <c r="M301" s="736"/>
    </row>
    <row r="302" spans="1:13" ht="18.75" customHeight="1" thickBot="1">
      <c r="A302" s="805"/>
      <c r="B302" s="187"/>
      <c r="C302" s="289" t="s">
        <v>4336</v>
      </c>
      <c r="D302" s="187">
        <v>630</v>
      </c>
      <c r="E302" s="187">
        <v>124</v>
      </c>
      <c r="F302" s="1016">
        <v>511</v>
      </c>
      <c r="G302" s="1018" t="s">
        <v>4035</v>
      </c>
      <c r="H302" s="1019">
        <v>3000000</v>
      </c>
      <c r="I302" s="960">
        <v>2435958.21</v>
      </c>
      <c r="J302" s="929">
        <f>H302-I302</f>
        <v>564041.79</v>
      </c>
      <c r="K302" s="948">
        <v>81.19</v>
      </c>
      <c r="L302" s="1170"/>
      <c r="M302" s="736"/>
    </row>
    <row r="303" spans="1:13" ht="54.75" customHeight="1" thickBot="1">
      <c r="A303" s="805"/>
      <c r="B303" s="187"/>
      <c r="C303" s="289"/>
      <c r="D303" s="187"/>
      <c r="E303" s="187"/>
      <c r="F303" s="1248" t="s">
        <v>4746</v>
      </c>
      <c r="G303" s="1249"/>
      <c r="H303" s="623">
        <f>SUM(H301:H302)</f>
        <v>3100000</v>
      </c>
      <c r="I303" s="843">
        <f>SUM(I301:I302)</f>
        <v>2493958.21</v>
      </c>
      <c r="J303" s="843">
        <f>SUM(J301:J302)</f>
        <v>606041.79</v>
      </c>
      <c r="K303" s="972">
        <f>I303/H303*100</f>
        <v>80.450264838709671</v>
      </c>
      <c r="L303" s="1170"/>
      <c r="M303" s="736"/>
    </row>
    <row r="304" spans="1:13" ht="15" customHeight="1" thickBot="1">
      <c r="A304" s="805"/>
      <c r="B304" s="187"/>
      <c r="C304" s="289"/>
      <c r="D304" s="187"/>
      <c r="E304" s="1232"/>
      <c r="F304" s="1232"/>
      <c r="G304" s="1232"/>
      <c r="H304" s="1232"/>
      <c r="I304" s="1232"/>
      <c r="J304" s="1232"/>
      <c r="K304" s="1233"/>
      <c r="L304" s="1170"/>
      <c r="M304" s="736"/>
    </row>
    <row r="305" spans="1:13">
      <c r="A305" s="805"/>
      <c r="B305" s="187"/>
      <c r="C305" s="286" t="s">
        <v>4346</v>
      </c>
      <c r="D305" s="190"/>
      <c r="E305" s="190"/>
      <c r="F305" s="314"/>
      <c r="G305" s="310" t="s">
        <v>4393</v>
      </c>
      <c r="H305" s="316"/>
      <c r="I305" s="855"/>
      <c r="J305" s="458"/>
      <c r="K305" s="942"/>
      <c r="L305" s="1170"/>
      <c r="M305" s="736"/>
    </row>
    <row r="306" spans="1:13" ht="15.75" thickBot="1">
      <c r="A306" s="805"/>
      <c r="B306" s="187"/>
      <c r="C306" s="286"/>
      <c r="D306" s="187">
        <v>640</v>
      </c>
      <c r="E306" s="287"/>
      <c r="F306" s="472"/>
      <c r="G306" s="488" t="s">
        <v>186</v>
      </c>
      <c r="H306" s="298"/>
      <c r="I306" s="826"/>
      <c r="J306" s="850"/>
      <c r="K306" s="943"/>
      <c r="L306" s="1170"/>
      <c r="M306" s="736"/>
    </row>
    <row r="307" spans="1:13">
      <c r="A307" s="805"/>
      <c r="B307" s="187"/>
      <c r="C307" s="441" t="s">
        <v>4346</v>
      </c>
      <c r="D307" s="327">
        <v>640</v>
      </c>
      <c r="E307" s="327">
        <v>125</v>
      </c>
      <c r="F307" s="1192">
        <v>421</v>
      </c>
      <c r="G307" s="1193" t="s">
        <v>3771</v>
      </c>
      <c r="H307" s="1194">
        <v>14000000</v>
      </c>
      <c r="I307" s="1195">
        <v>9725684.3900000006</v>
      </c>
      <c r="J307" s="1196">
        <f>H307-I307</f>
        <v>4274315.6099999994</v>
      </c>
      <c r="K307" s="1197">
        <v>69.459999999999994</v>
      </c>
      <c r="L307" s="1179"/>
      <c r="M307" s="736"/>
    </row>
    <row r="308" spans="1:13">
      <c r="A308" s="805"/>
      <c r="B308" s="187"/>
      <c r="C308" s="441" t="s">
        <v>4346</v>
      </c>
      <c r="D308" s="327">
        <v>640</v>
      </c>
      <c r="E308" s="327">
        <v>126</v>
      </c>
      <c r="F308" s="1198">
        <v>424</v>
      </c>
      <c r="G308" s="1181" t="s">
        <v>3775</v>
      </c>
      <c r="H308" s="1199">
        <v>250000</v>
      </c>
      <c r="I308" s="1200">
        <v>0</v>
      </c>
      <c r="J308" s="1184">
        <f>H308-I308</f>
        <v>250000</v>
      </c>
      <c r="K308" s="1185">
        <v>0</v>
      </c>
      <c r="L308" s="1179"/>
      <c r="M308" s="736"/>
    </row>
    <row r="309" spans="1:13">
      <c r="A309" s="805"/>
      <c r="B309" s="187"/>
      <c r="C309" s="441" t="s">
        <v>4346</v>
      </c>
      <c r="D309" s="327">
        <v>640</v>
      </c>
      <c r="E309" s="327">
        <v>127</v>
      </c>
      <c r="F309" s="1180">
        <v>425</v>
      </c>
      <c r="G309" s="1181" t="s">
        <v>4030</v>
      </c>
      <c r="H309" s="1182">
        <v>8700000</v>
      </c>
      <c r="I309" s="1183">
        <v>1444638</v>
      </c>
      <c r="J309" s="1184">
        <f t="shared" ref="J309:J311" si="19">H309-I309</f>
        <v>7255362</v>
      </c>
      <c r="K309" s="1185">
        <v>16.600000000000001</v>
      </c>
      <c r="L309" s="1179"/>
      <c r="M309" s="736"/>
    </row>
    <row r="310" spans="1:13">
      <c r="A310" s="805"/>
      <c r="B310" s="187"/>
      <c r="C310" s="441" t="s">
        <v>4346</v>
      </c>
      <c r="D310" s="327">
        <v>640</v>
      </c>
      <c r="E310" s="327">
        <v>128</v>
      </c>
      <c r="F310" s="1180">
        <v>426</v>
      </c>
      <c r="G310" s="1181" t="s">
        <v>3779</v>
      </c>
      <c r="H310" s="1182">
        <v>2100000</v>
      </c>
      <c r="I310" s="1183">
        <v>1925005.2</v>
      </c>
      <c r="J310" s="1184">
        <f t="shared" si="19"/>
        <v>174994.80000000005</v>
      </c>
      <c r="K310" s="1185">
        <v>91.66</v>
      </c>
      <c r="L310" s="1179"/>
      <c r="M310" s="736"/>
    </row>
    <row r="311" spans="1:13" ht="15.75" thickBot="1">
      <c r="A311" s="805"/>
      <c r="B311" s="187"/>
      <c r="C311" s="441" t="s">
        <v>4346</v>
      </c>
      <c r="D311" s="327">
        <v>640</v>
      </c>
      <c r="E311" s="327">
        <v>129</v>
      </c>
      <c r="F311" s="1186">
        <v>511</v>
      </c>
      <c r="G311" s="1187" t="s">
        <v>4035</v>
      </c>
      <c r="H311" s="1188">
        <v>4800000</v>
      </c>
      <c r="I311" s="1189">
        <v>65000</v>
      </c>
      <c r="J311" s="1190">
        <f t="shared" si="19"/>
        <v>4735000</v>
      </c>
      <c r="K311" s="1191">
        <v>1.34</v>
      </c>
      <c r="L311" s="1179"/>
      <c r="M311" s="736"/>
    </row>
    <row r="312" spans="1:13" ht="53.25" customHeight="1" thickBot="1">
      <c r="A312" s="805"/>
      <c r="B312" s="187"/>
      <c r="C312" s="289"/>
      <c r="D312" s="187"/>
      <c r="E312" s="187"/>
      <c r="F312" s="1248" t="s">
        <v>4747</v>
      </c>
      <c r="G312" s="1249"/>
      <c r="H312" s="405">
        <f>SUM(H307:H311)</f>
        <v>29850000</v>
      </c>
      <c r="I312" s="857">
        <f>SUM(I307:I311)</f>
        <v>13160327.59</v>
      </c>
      <c r="J312" s="857">
        <f>SUM(J307:J311)</f>
        <v>16689672.41</v>
      </c>
      <c r="K312" s="972">
        <f>I312/H312*100</f>
        <v>44.088199631490788</v>
      </c>
      <c r="M312" s="736"/>
    </row>
    <row r="313" spans="1:13" ht="79.5" customHeight="1" thickBot="1">
      <c r="A313" s="271"/>
      <c r="B313" s="274"/>
      <c r="C313" s="300"/>
      <c r="D313" s="301"/>
      <c r="E313" s="274"/>
      <c r="F313" s="1250" t="s">
        <v>4748</v>
      </c>
      <c r="G313" s="1251"/>
      <c r="H313" s="471">
        <f>H312+H284+H291+H298+H303</f>
        <v>105870000</v>
      </c>
      <c r="I313" s="849">
        <f>I312+I284+I291+I298+I303</f>
        <v>58374646.219999999</v>
      </c>
      <c r="J313" s="849">
        <f>J312+J284+J291+J298+J303</f>
        <v>47495353.780000001</v>
      </c>
      <c r="K313" s="849">
        <f>I313/H313*100</f>
        <v>55.138043090582791</v>
      </c>
      <c r="M313" s="736"/>
    </row>
    <row r="314" spans="1:13" ht="15.75" thickBot="1">
      <c r="A314" s="327"/>
      <c r="B314" s="327"/>
      <c r="C314" s="441"/>
      <c r="D314" s="327"/>
      <c r="E314" s="327"/>
      <c r="F314" s="347"/>
      <c r="G314" s="347"/>
      <c r="H314" s="348"/>
      <c r="I314" s="634"/>
      <c r="J314" s="1234"/>
      <c r="K314" s="1234"/>
    </row>
    <row r="315" spans="1:13" ht="23.25" customHeight="1">
      <c r="A315" s="281"/>
      <c r="B315" s="282"/>
      <c r="C315" s="283" t="s">
        <v>3565</v>
      </c>
      <c r="D315" s="282"/>
      <c r="E315" s="282"/>
      <c r="F315" s="324"/>
      <c r="G315" s="318" t="s">
        <v>4462</v>
      </c>
      <c r="H315" s="291"/>
      <c r="I315" s="825"/>
      <c r="J315" s="841"/>
      <c r="K315" s="942"/>
    </row>
    <row r="316" spans="1:13">
      <c r="A316" s="805"/>
      <c r="B316" s="187"/>
      <c r="C316" s="286" t="s">
        <v>4378</v>
      </c>
      <c r="D316" s="187"/>
      <c r="E316" s="187"/>
      <c r="F316" s="325"/>
      <c r="G316" s="195" t="s">
        <v>4379</v>
      </c>
      <c r="H316" s="292"/>
      <c r="I316" s="339"/>
      <c r="J316" s="340"/>
      <c r="K316" s="943"/>
    </row>
    <row r="317" spans="1:13" ht="15.75" thickBot="1">
      <c r="A317" s="805"/>
      <c r="B317" s="187"/>
      <c r="C317" s="286"/>
      <c r="D317" s="366">
        <v>620</v>
      </c>
      <c r="E317" s="287"/>
      <c r="F317" s="326"/>
      <c r="G317" s="319" t="s">
        <v>184</v>
      </c>
      <c r="H317" s="338"/>
      <c r="I317" s="339"/>
      <c r="J317" s="340"/>
      <c r="K317" s="943"/>
    </row>
    <row r="318" spans="1:13">
      <c r="A318" s="805"/>
      <c r="B318" s="187"/>
      <c r="C318" s="289" t="s">
        <v>4378</v>
      </c>
      <c r="D318" s="366">
        <v>620</v>
      </c>
      <c r="E318" s="187">
        <v>109</v>
      </c>
      <c r="F318" s="410">
        <v>421</v>
      </c>
      <c r="G318" s="403" t="s">
        <v>3771</v>
      </c>
      <c r="H318" s="592">
        <v>30000</v>
      </c>
      <c r="I318" s="593">
        <v>0</v>
      </c>
      <c r="J318" s="936">
        <f>H318-I318</f>
        <v>30000</v>
      </c>
      <c r="K318" s="946">
        <v>0</v>
      </c>
    </row>
    <row r="319" spans="1:13">
      <c r="A319" s="805"/>
      <c r="B319" s="187"/>
      <c r="C319" s="289" t="s">
        <v>4378</v>
      </c>
      <c r="D319" s="366">
        <v>620</v>
      </c>
      <c r="E319" s="187">
        <v>110</v>
      </c>
      <c r="F319" s="1013">
        <v>422</v>
      </c>
      <c r="G319" s="953" t="s">
        <v>3772</v>
      </c>
      <c r="H319" s="1029">
        <v>100000</v>
      </c>
      <c r="I319" s="594">
        <v>0</v>
      </c>
      <c r="J319" s="918">
        <f>H319-I319</f>
        <v>100000</v>
      </c>
      <c r="K319" s="947">
        <v>0</v>
      </c>
    </row>
    <row r="320" spans="1:13">
      <c r="A320" s="805"/>
      <c r="B320" s="187"/>
      <c r="C320" s="289" t="s">
        <v>4378</v>
      </c>
      <c r="D320" s="366">
        <v>620</v>
      </c>
      <c r="E320" s="187">
        <v>111</v>
      </c>
      <c r="F320" s="1013">
        <v>423</v>
      </c>
      <c r="G320" s="953" t="s">
        <v>3773</v>
      </c>
      <c r="H320" s="1029">
        <v>800000</v>
      </c>
      <c r="I320" s="594">
        <v>295451.5</v>
      </c>
      <c r="J320" s="918">
        <f t="shared" ref="J320:J326" si="20">H320-I320</f>
        <v>504548.5</v>
      </c>
      <c r="K320" s="947">
        <v>36.93</v>
      </c>
    </row>
    <row r="321" spans="1:11">
      <c r="A321" s="805"/>
      <c r="B321" s="187"/>
      <c r="C321" s="289" t="s">
        <v>4378</v>
      </c>
      <c r="D321" s="366">
        <v>620</v>
      </c>
      <c r="E321" s="187">
        <v>112</v>
      </c>
      <c r="F321" s="1013">
        <v>424</v>
      </c>
      <c r="G321" s="1028" t="s">
        <v>3775</v>
      </c>
      <c r="H321" s="1029">
        <v>500000</v>
      </c>
      <c r="I321" s="594">
        <v>5849</v>
      </c>
      <c r="J321" s="918">
        <f t="shared" si="20"/>
        <v>494151</v>
      </c>
      <c r="K321" s="947">
        <v>1.17</v>
      </c>
    </row>
    <row r="322" spans="1:11">
      <c r="A322" s="805"/>
      <c r="B322" s="187"/>
      <c r="C322" s="289" t="s">
        <v>4378</v>
      </c>
      <c r="D322" s="366">
        <v>620</v>
      </c>
      <c r="E322" s="187">
        <v>113</v>
      </c>
      <c r="F322" s="1013">
        <v>426</v>
      </c>
      <c r="G322" s="1028" t="s">
        <v>3779</v>
      </c>
      <c r="H322" s="1029">
        <v>100000</v>
      </c>
      <c r="I322" s="594">
        <v>0</v>
      </c>
      <c r="J322" s="918">
        <f t="shared" si="20"/>
        <v>100000</v>
      </c>
      <c r="K322" s="947">
        <v>0</v>
      </c>
    </row>
    <row r="323" spans="1:11">
      <c r="A323" s="805"/>
      <c r="B323" s="187"/>
      <c r="C323" s="289" t="s">
        <v>4378</v>
      </c>
      <c r="D323" s="366">
        <v>620</v>
      </c>
      <c r="E323" s="187" t="s">
        <v>4698</v>
      </c>
      <c r="F323" s="1013">
        <v>465</v>
      </c>
      <c r="G323" s="1028" t="s">
        <v>4699</v>
      </c>
      <c r="H323" s="1029">
        <v>10000</v>
      </c>
      <c r="I323" s="594">
        <v>5000</v>
      </c>
      <c r="J323" s="918">
        <f t="shared" si="20"/>
        <v>5000</v>
      </c>
      <c r="K323" s="947">
        <v>50</v>
      </c>
    </row>
    <row r="324" spans="1:11" ht="30">
      <c r="A324" s="805"/>
      <c r="B324" s="187"/>
      <c r="C324" s="289" t="s">
        <v>4378</v>
      </c>
      <c r="D324" s="366">
        <v>620</v>
      </c>
      <c r="E324" s="187">
        <v>114</v>
      </c>
      <c r="F324" s="1043">
        <v>481</v>
      </c>
      <c r="G324" s="1044" t="s">
        <v>4465</v>
      </c>
      <c r="H324" s="992">
        <v>5200000</v>
      </c>
      <c r="I324" s="644">
        <v>5176363.38</v>
      </c>
      <c r="J324" s="918">
        <f t="shared" si="20"/>
        <v>23636.620000000112</v>
      </c>
      <c r="K324" s="947">
        <v>99.54</v>
      </c>
    </row>
    <row r="325" spans="1:11">
      <c r="A325" s="805"/>
      <c r="B325" s="187"/>
      <c r="C325" s="289" t="s">
        <v>4378</v>
      </c>
      <c r="D325" s="366">
        <v>620</v>
      </c>
      <c r="E325" s="187">
        <v>115</v>
      </c>
      <c r="F325" s="1013">
        <v>482</v>
      </c>
      <c r="G325" s="953" t="s">
        <v>4032</v>
      </c>
      <c r="H325" s="1029">
        <v>300000</v>
      </c>
      <c r="I325" s="594">
        <v>0</v>
      </c>
      <c r="J325" s="918">
        <f t="shared" si="20"/>
        <v>300000</v>
      </c>
      <c r="K325" s="947">
        <v>0</v>
      </c>
    </row>
    <row r="326" spans="1:11" ht="15.75" thickBot="1">
      <c r="A326" s="805"/>
      <c r="B326" s="187"/>
      <c r="C326" s="289" t="s">
        <v>4378</v>
      </c>
      <c r="D326" s="366">
        <v>620</v>
      </c>
      <c r="E326" s="187">
        <v>116</v>
      </c>
      <c r="F326" s="1032">
        <v>511</v>
      </c>
      <c r="G326" s="1033" t="s">
        <v>4035</v>
      </c>
      <c r="H326" s="1034">
        <v>500000</v>
      </c>
      <c r="I326" s="919">
        <v>0</v>
      </c>
      <c r="J326" s="1035">
        <f t="shared" si="20"/>
        <v>500000</v>
      </c>
      <c r="K326" s="990">
        <v>0</v>
      </c>
    </row>
    <row r="327" spans="1:11" ht="63.75" customHeight="1" thickBot="1">
      <c r="A327" s="805"/>
      <c r="B327" s="187"/>
      <c r="C327" s="289"/>
      <c r="D327" s="187"/>
      <c r="E327" s="187"/>
      <c r="F327" s="1248" t="s">
        <v>4749</v>
      </c>
      <c r="G327" s="1249"/>
      <c r="H327" s="349">
        <f>SUM(H318:H326)</f>
        <v>7540000</v>
      </c>
      <c r="I327" s="349">
        <f>SUM(I318:I326)</f>
        <v>5482663.8799999999</v>
      </c>
      <c r="J327" s="349">
        <f>SUM(J318:J326)</f>
        <v>2057336.12</v>
      </c>
      <c r="K327" s="349">
        <f>I327/H327*100</f>
        <v>72.714375066312996</v>
      </c>
    </row>
    <row r="328" spans="1:11" ht="15.75" thickBot="1">
      <c r="A328" s="805"/>
      <c r="B328" s="187"/>
      <c r="C328" s="289"/>
      <c r="D328" s="187"/>
      <c r="E328" s="187"/>
      <c r="F328" s="320"/>
      <c r="G328" s="320"/>
      <c r="H328" s="455"/>
      <c r="I328" s="454"/>
      <c r="J328" s="1281"/>
      <c r="K328" s="1282"/>
    </row>
    <row r="329" spans="1:11">
      <c r="A329" s="805"/>
      <c r="B329" s="187"/>
      <c r="C329" s="286" t="s">
        <v>3968</v>
      </c>
      <c r="D329" s="187"/>
      <c r="E329" s="187"/>
      <c r="F329" s="807"/>
      <c r="G329" s="324" t="s">
        <v>4331</v>
      </c>
      <c r="H329" s="459"/>
      <c r="I329" s="458"/>
      <c r="J329" s="456"/>
      <c r="K329" s="942"/>
    </row>
    <row r="330" spans="1:11" ht="15.75" thickBot="1">
      <c r="A330" s="805"/>
      <c r="B330" s="187"/>
      <c r="C330" s="289"/>
      <c r="D330" s="366">
        <v>620</v>
      </c>
      <c r="E330" s="287"/>
      <c r="F330" s="326"/>
      <c r="G330" s="319" t="s">
        <v>184</v>
      </c>
      <c r="H330" s="1036"/>
      <c r="I330" s="899"/>
      <c r="J330" s="457"/>
      <c r="K330" s="943"/>
    </row>
    <row r="331" spans="1:11" ht="30">
      <c r="A331" s="805"/>
      <c r="B331" s="187"/>
      <c r="C331" s="289" t="s">
        <v>3968</v>
      </c>
      <c r="D331" s="187">
        <v>620</v>
      </c>
      <c r="E331" s="187">
        <v>117</v>
      </c>
      <c r="F331" s="410">
        <v>451</v>
      </c>
      <c r="G331" s="1038" t="s">
        <v>4448</v>
      </c>
      <c r="H331" s="1041">
        <v>3000000</v>
      </c>
      <c r="I331" s="864">
        <v>2000000</v>
      </c>
      <c r="J331" s="935">
        <f>H331-I331</f>
        <v>1000000</v>
      </c>
      <c r="K331" s="946">
        <v>66.66</v>
      </c>
    </row>
    <row r="332" spans="1:11">
      <c r="A332" s="805"/>
      <c r="B332" s="187"/>
      <c r="C332" s="289" t="s">
        <v>3968</v>
      </c>
      <c r="D332" s="187">
        <v>620</v>
      </c>
      <c r="E332" s="187">
        <v>118</v>
      </c>
      <c r="F332" s="1013">
        <v>454</v>
      </c>
      <c r="G332" s="1039" t="s">
        <v>4449</v>
      </c>
      <c r="H332" s="989">
        <v>6000000</v>
      </c>
      <c r="I332" s="954">
        <v>5000000</v>
      </c>
      <c r="J332" s="644">
        <f>H332-I332</f>
        <v>1000000</v>
      </c>
      <c r="K332" s="947">
        <v>83.33</v>
      </c>
    </row>
    <row r="333" spans="1:11" ht="33" customHeight="1" thickBot="1">
      <c r="A333" s="805"/>
      <c r="B333" s="187"/>
      <c r="C333" s="289" t="s">
        <v>3968</v>
      </c>
      <c r="D333" s="187">
        <v>620</v>
      </c>
      <c r="E333" s="187">
        <v>119</v>
      </c>
      <c r="F333" s="1037">
        <v>481</v>
      </c>
      <c r="G333" s="1040" t="s">
        <v>4466</v>
      </c>
      <c r="H333" s="1042">
        <v>2000000</v>
      </c>
      <c r="I333" s="960">
        <v>1218840</v>
      </c>
      <c r="J333" s="929">
        <f>H333-I333</f>
        <v>781160</v>
      </c>
      <c r="K333" s="948">
        <v>60.94</v>
      </c>
    </row>
    <row r="334" spans="1:11" ht="78" customHeight="1" thickBot="1">
      <c r="A334" s="805"/>
      <c r="B334" s="187"/>
      <c r="C334" s="289"/>
      <c r="D334" s="187"/>
      <c r="E334" s="187"/>
      <c r="F334" s="1237" t="s">
        <v>4750</v>
      </c>
      <c r="G334" s="1238"/>
      <c r="H334" s="349">
        <f>SUM(H331:H333)</f>
        <v>11000000</v>
      </c>
      <c r="I334" s="349">
        <f>SUM(I331:I333)</f>
        <v>8218840</v>
      </c>
      <c r="J334" s="349">
        <f>SUM(J331:J333)</f>
        <v>2781160</v>
      </c>
      <c r="K334" s="591">
        <f>I334/H334*100</f>
        <v>74.716727272727269</v>
      </c>
    </row>
    <row r="335" spans="1:11" ht="15.75" thickBot="1">
      <c r="A335" s="805"/>
      <c r="B335" s="187"/>
      <c r="C335" s="289"/>
      <c r="D335" s="187"/>
      <c r="E335" s="1232"/>
      <c r="F335" s="1232"/>
      <c r="G335" s="1232"/>
      <c r="H335" s="1232"/>
      <c r="I335" s="1232"/>
      <c r="J335" s="1232"/>
      <c r="K335" s="1233"/>
    </row>
    <row r="336" spans="1:11" ht="28.5">
      <c r="A336" s="805"/>
      <c r="B336" s="187"/>
      <c r="C336" s="640" t="s">
        <v>4074</v>
      </c>
      <c r="D336" s="187"/>
      <c r="E336" s="187"/>
      <c r="F336" s="632"/>
      <c r="G336" s="639" t="s">
        <v>4570</v>
      </c>
      <c r="H336" s="635"/>
      <c r="I336" s="868"/>
      <c r="J336" s="636"/>
      <c r="K336" s="868"/>
    </row>
    <row r="337" spans="1:11" ht="15.75" thickBot="1">
      <c r="A337" s="805"/>
      <c r="B337" s="187"/>
      <c r="C337" s="289"/>
      <c r="D337" s="187">
        <v>620</v>
      </c>
      <c r="E337" s="187"/>
      <c r="F337" s="487"/>
      <c r="G337" s="641" t="s">
        <v>184</v>
      </c>
      <c r="H337" s="634"/>
      <c r="I337" s="869"/>
      <c r="J337" s="637"/>
      <c r="K337" s="896"/>
    </row>
    <row r="338" spans="1:11" ht="32.25" customHeight="1" thickBot="1">
      <c r="A338" s="805"/>
      <c r="B338" s="187"/>
      <c r="C338" s="289" t="s">
        <v>4378</v>
      </c>
      <c r="D338" s="366">
        <v>620</v>
      </c>
      <c r="E338" s="187">
        <v>120</v>
      </c>
      <c r="F338" s="1030">
        <v>541</v>
      </c>
      <c r="G338" s="1031" t="s">
        <v>4038</v>
      </c>
      <c r="H338" s="662">
        <v>4000000</v>
      </c>
      <c r="I338" s="866">
        <v>3633422.96</v>
      </c>
      <c r="J338" s="901">
        <f>H338-I338</f>
        <v>366577.04000000004</v>
      </c>
      <c r="K338" s="809">
        <v>90.83</v>
      </c>
    </row>
    <row r="339" spans="1:11" ht="55.5" customHeight="1" thickBot="1">
      <c r="A339" s="805"/>
      <c r="B339" s="187"/>
      <c r="C339" s="289"/>
      <c r="D339" s="187"/>
      <c r="E339" s="187"/>
      <c r="F339" s="1248" t="s">
        <v>4679</v>
      </c>
      <c r="G339" s="1249"/>
      <c r="H339" s="349">
        <f>H338</f>
        <v>4000000</v>
      </c>
      <c r="I339" s="349">
        <f t="shared" ref="I339:J339" si="21">I338</f>
        <v>3633422.96</v>
      </c>
      <c r="J339" s="349">
        <f t="shared" si="21"/>
        <v>366577.04000000004</v>
      </c>
      <c r="K339" s="591">
        <v>90.83</v>
      </c>
    </row>
    <row r="340" spans="1:11" ht="103.5" customHeight="1" thickBot="1">
      <c r="A340" s="271"/>
      <c r="B340" s="274"/>
      <c r="C340" s="290"/>
      <c r="D340" s="274"/>
      <c r="E340" s="274"/>
      <c r="F340" s="1320" t="s">
        <v>4751</v>
      </c>
      <c r="G340" s="1321"/>
      <c r="H340" s="633">
        <f>H327+H334+H339</f>
        <v>22540000</v>
      </c>
      <c r="I340" s="633">
        <f t="shared" ref="I340:J340" si="22">I327+I334+I339</f>
        <v>17334926.84</v>
      </c>
      <c r="J340" s="633">
        <f t="shared" si="22"/>
        <v>5205073.16</v>
      </c>
      <c r="K340" s="849">
        <f>I340/H340*100</f>
        <v>76.907395031055898</v>
      </c>
    </row>
    <row r="341" spans="1:11" ht="15.75" thickBot="1">
      <c r="A341" s="187"/>
      <c r="B341" s="187"/>
      <c r="C341" s="289"/>
      <c r="D341" s="187"/>
      <c r="E341" s="187"/>
      <c r="F341" s="347"/>
      <c r="G341" s="347"/>
      <c r="H341" s="348"/>
      <c r="I341" s="634"/>
      <c r="J341" s="1234"/>
      <c r="K341" s="1234"/>
    </row>
    <row r="342" spans="1:11">
      <c r="A342" s="281"/>
      <c r="B342" s="282"/>
      <c r="C342" s="283" t="s">
        <v>3592</v>
      </c>
      <c r="D342" s="284"/>
      <c r="E342" s="285"/>
      <c r="F342" s="285"/>
      <c r="G342" s="294" t="s">
        <v>4399</v>
      </c>
      <c r="H342" s="291"/>
      <c r="I342" s="825"/>
      <c r="J342" s="841"/>
      <c r="K342" s="942"/>
    </row>
    <row r="343" spans="1:11" ht="28.5">
      <c r="A343" s="805"/>
      <c r="B343" s="187"/>
      <c r="C343" s="286" t="s">
        <v>3991</v>
      </c>
      <c r="D343" s="190"/>
      <c r="E343" s="806"/>
      <c r="F343" s="806"/>
      <c r="G343" s="197" t="s">
        <v>3987</v>
      </c>
      <c r="H343" s="292"/>
      <c r="I343" s="339"/>
      <c r="J343" s="340"/>
      <c r="K343" s="943"/>
    </row>
    <row r="344" spans="1:11" ht="15.75" thickBot="1">
      <c r="A344" s="805"/>
      <c r="B344" s="187"/>
      <c r="C344" s="286"/>
      <c r="D344" s="187">
        <v>740</v>
      </c>
      <c r="E344" s="806"/>
      <c r="F344" s="806"/>
      <c r="G344" s="193" t="s">
        <v>204</v>
      </c>
      <c r="H344" s="292"/>
      <c r="I344" s="339"/>
      <c r="J344" s="340"/>
      <c r="K344" s="943"/>
    </row>
    <row r="345" spans="1:11">
      <c r="A345" s="805"/>
      <c r="B345" s="187"/>
      <c r="C345" s="289" t="s">
        <v>3991</v>
      </c>
      <c r="D345" s="187">
        <v>740</v>
      </c>
      <c r="E345" s="187">
        <v>130</v>
      </c>
      <c r="F345" s="406">
        <v>464</v>
      </c>
      <c r="G345" s="407" t="s">
        <v>4260</v>
      </c>
      <c r="H345" s="404">
        <v>8600000</v>
      </c>
      <c r="I345" s="413">
        <v>7895275</v>
      </c>
      <c r="J345" s="593">
        <f>H345-I345</f>
        <v>704725</v>
      </c>
      <c r="K345" s="946">
        <v>91.8</v>
      </c>
    </row>
    <row r="346" spans="1:11" ht="26.25" customHeight="1" thickBot="1">
      <c r="A346" s="805"/>
      <c r="B346" s="187"/>
      <c r="C346" s="289"/>
      <c r="D346" s="187"/>
      <c r="E346" s="187"/>
      <c r="F346" s="1297" t="s">
        <v>4581</v>
      </c>
      <c r="G346" s="1298"/>
      <c r="H346" s="405">
        <f>H345</f>
        <v>8600000</v>
      </c>
      <c r="I346" s="591">
        <f>I345</f>
        <v>7895275</v>
      </c>
      <c r="J346" s="922">
        <f>J345</f>
        <v>704725</v>
      </c>
      <c r="K346" s="972">
        <v>91.8</v>
      </c>
    </row>
    <row r="347" spans="1:11" ht="15.75" thickBot="1">
      <c r="A347" s="805"/>
      <c r="B347" s="187"/>
      <c r="C347" s="289"/>
      <c r="D347" s="187"/>
      <c r="E347" s="187"/>
      <c r="F347" s="187"/>
      <c r="G347" s="438"/>
      <c r="H347" s="250"/>
      <c r="I347" s="339"/>
      <c r="J347" s="1235"/>
      <c r="K347" s="1236"/>
    </row>
    <row r="348" spans="1:11">
      <c r="A348" s="805"/>
      <c r="B348" s="187"/>
      <c r="C348" s="286" t="s">
        <v>4400</v>
      </c>
      <c r="D348" s="190"/>
      <c r="E348" s="806"/>
      <c r="F348" s="539"/>
      <c r="G348" s="294" t="s">
        <v>4366</v>
      </c>
      <c r="H348" s="291"/>
      <c r="I348" s="825"/>
      <c r="J348" s="841"/>
      <c r="K348" s="942"/>
    </row>
    <row r="349" spans="1:11" ht="15.75" thickBot="1">
      <c r="A349" s="805"/>
      <c r="B349" s="187"/>
      <c r="C349" s="286"/>
      <c r="D349" s="187">
        <v>740</v>
      </c>
      <c r="E349" s="806"/>
      <c r="F349" s="540"/>
      <c r="G349" s="475" t="s">
        <v>204</v>
      </c>
      <c r="H349" s="298"/>
      <c r="I349" s="826"/>
      <c r="J349" s="850"/>
      <c r="K349" s="943"/>
    </row>
    <row r="350" spans="1:11" ht="15.75" thickBot="1">
      <c r="A350" s="805"/>
      <c r="B350" s="187"/>
      <c r="C350" s="289" t="s">
        <v>4400</v>
      </c>
      <c r="D350" s="187">
        <v>740</v>
      </c>
      <c r="E350" s="187">
        <v>131</v>
      </c>
      <c r="F350" s="805">
        <v>424</v>
      </c>
      <c r="G350" s="496" t="s">
        <v>4325</v>
      </c>
      <c r="H350" s="250">
        <v>400000</v>
      </c>
      <c r="I350" s="340">
        <v>284810.11</v>
      </c>
      <c r="J350" s="845">
        <f>H350-I350</f>
        <v>115189.89000000001</v>
      </c>
      <c r="K350" s="944">
        <v>71.2</v>
      </c>
    </row>
    <row r="351" spans="1:11" ht="15.75" thickBot="1">
      <c r="A351" s="805"/>
      <c r="B351" s="187"/>
      <c r="C351" s="286"/>
      <c r="D351" s="190"/>
      <c r="E351" s="806"/>
      <c r="F351" s="1265" t="s">
        <v>4401</v>
      </c>
      <c r="G351" s="1274"/>
      <c r="H351" s="344">
        <f>H350</f>
        <v>400000</v>
      </c>
      <c r="I351" s="349">
        <f>I350</f>
        <v>284810.11</v>
      </c>
      <c r="J351" s="349">
        <f>J350</f>
        <v>115189.89000000001</v>
      </c>
      <c r="K351" s="995">
        <v>71.2</v>
      </c>
    </row>
    <row r="352" spans="1:11" ht="42.75" customHeight="1" thickBot="1">
      <c r="A352" s="271"/>
      <c r="B352" s="274"/>
      <c r="C352" s="300"/>
      <c r="D352" s="301"/>
      <c r="E352" s="275"/>
      <c r="F352" s="1293" t="s">
        <v>4632</v>
      </c>
      <c r="G352" s="1294"/>
      <c r="H352" s="342">
        <f>H346+H351</f>
        <v>9000000</v>
      </c>
      <c r="I352" s="839">
        <f>I346+I351</f>
        <v>8180085.1100000003</v>
      </c>
      <c r="J352" s="839">
        <f>J346+J351</f>
        <v>819914.89</v>
      </c>
      <c r="K352" s="985">
        <f>I352/H352*100</f>
        <v>90.889834555555566</v>
      </c>
    </row>
    <row r="353" spans="1:11" ht="15.75" thickBot="1">
      <c r="A353" s="187"/>
      <c r="B353" s="187"/>
      <c r="C353" s="289"/>
      <c r="D353" s="187"/>
      <c r="E353" s="187"/>
      <c r="F353" s="347"/>
      <c r="G353" s="347"/>
      <c r="H353" s="348"/>
      <c r="I353" s="634"/>
      <c r="J353" s="634"/>
    </row>
    <row r="354" spans="1:11" ht="28.5">
      <c r="A354" s="281"/>
      <c r="B354" s="282"/>
      <c r="C354" s="283" t="s">
        <v>3598</v>
      </c>
      <c r="D354" s="284"/>
      <c r="E354" s="282"/>
      <c r="F354" s="281"/>
      <c r="G354" s="434" t="s">
        <v>4268</v>
      </c>
      <c r="H354" s="295"/>
      <c r="I354" s="841"/>
      <c r="J354" s="844"/>
      <c r="K354" s="942"/>
    </row>
    <row r="355" spans="1:11" ht="28.5">
      <c r="A355" s="805"/>
      <c r="B355" s="187"/>
      <c r="C355" s="286" t="s">
        <v>3992</v>
      </c>
      <c r="D355" s="190"/>
      <c r="E355" s="187"/>
      <c r="F355" s="805"/>
      <c r="G355" s="435" t="s">
        <v>3993</v>
      </c>
      <c r="H355" s="250"/>
      <c r="I355" s="340"/>
      <c r="J355" s="845"/>
      <c r="K355" s="943"/>
    </row>
    <row r="356" spans="1:11" ht="15.75" thickBot="1">
      <c r="A356" s="805"/>
      <c r="B356" s="187"/>
      <c r="C356" s="286"/>
      <c r="D356" s="187">
        <v>810</v>
      </c>
      <c r="E356" s="187"/>
      <c r="F356" s="271"/>
      <c r="G356" s="436" t="s">
        <v>208</v>
      </c>
      <c r="H356" s="272"/>
      <c r="I356" s="850"/>
      <c r="J356" s="847"/>
      <c r="K356" s="943"/>
    </row>
    <row r="357" spans="1:11" ht="15.75" thickBot="1">
      <c r="A357" s="805"/>
      <c r="B357" s="187"/>
      <c r="C357" s="289" t="s">
        <v>3992</v>
      </c>
      <c r="D357" s="187">
        <v>810</v>
      </c>
      <c r="E357" s="554">
        <v>132</v>
      </c>
      <c r="F357" s="451">
        <v>481</v>
      </c>
      <c r="G357" s="409" t="s">
        <v>4256</v>
      </c>
      <c r="H357" s="418">
        <v>21000000</v>
      </c>
      <c r="I357" s="830">
        <v>15237498.75</v>
      </c>
      <c r="J357" s="866">
        <f>H357-I357</f>
        <v>5762501.25</v>
      </c>
      <c r="K357" s="944">
        <v>72.56</v>
      </c>
    </row>
    <row r="358" spans="1:11" ht="33" customHeight="1" thickBot="1">
      <c r="A358" s="805"/>
      <c r="B358" s="187"/>
      <c r="C358" s="286"/>
      <c r="D358" s="190"/>
      <c r="E358" s="806"/>
      <c r="F358" s="1248" t="s">
        <v>4670</v>
      </c>
      <c r="G358" s="1249"/>
      <c r="H358" s="344">
        <f>SUM(H357:H357)</f>
        <v>21000000</v>
      </c>
      <c r="I358" s="870">
        <f>SUM(I357)</f>
        <v>15237498.75</v>
      </c>
      <c r="J358" s="870">
        <f>SUM(J357:J357)</f>
        <v>5762501.25</v>
      </c>
      <c r="K358" s="972">
        <v>72.56</v>
      </c>
    </row>
    <row r="359" spans="1:11" ht="15.75" thickBot="1">
      <c r="A359" s="805"/>
      <c r="B359" s="187"/>
      <c r="C359" s="286"/>
      <c r="D359" s="190"/>
      <c r="E359" s="1232"/>
      <c r="F359" s="1232"/>
      <c r="G359" s="1232"/>
      <c r="H359" s="1232"/>
      <c r="I359" s="1232"/>
      <c r="J359" s="1232"/>
      <c r="K359" s="1233"/>
    </row>
    <row r="360" spans="1:11" ht="29.25" thickBot="1">
      <c r="A360" s="805"/>
      <c r="B360" s="187"/>
      <c r="C360" s="286" t="s">
        <v>4233</v>
      </c>
      <c r="D360" s="567">
        <v>810</v>
      </c>
      <c r="E360" s="187"/>
      <c r="F360" s="333"/>
      <c r="G360" s="434" t="s">
        <v>4645</v>
      </c>
      <c r="H360" s="662"/>
      <c r="I360" s="867"/>
      <c r="J360" s="901"/>
      <c r="K360" s="942"/>
    </row>
    <row r="361" spans="1:11">
      <c r="A361" s="805"/>
      <c r="B361" s="187"/>
      <c r="C361" s="289" t="s">
        <v>4233</v>
      </c>
      <c r="D361" s="187">
        <v>810</v>
      </c>
      <c r="E361" s="187" t="s">
        <v>4643</v>
      </c>
      <c r="F361" s="406">
        <v>423</v>
      </c>
      <c r="G361" s="463" t="s">
        <v>3773</v>
      </c>
      <c r="H361" s="404">
        <v>300000</v>
      </c>
      <c r="I361" s="413">
        <v>0</v>
      </c>
      <c r="J361" s="593">
        <f>H361-I361</f>
        <v>300000</v>
      </c>
      <c r="K361" s="946">
        <v>0</v>
      </c>
    </row>
    <row r="362" spans="1:11" ht="15.75" thickBot="1">
      <c r="A362" s="805"/>
      <c r="B362" s="187"/>
      <c r="C362" s="289" t="s">
        <v>4233</v>
      </c>
      <c r="D362" s="187">
        <v>810</v>
      </c>
      <c r="E362" s="187" t="s">
        <v>4644</v>
      </c>
      <c r="F362" s="1016">
        <v>511</v>
      </c>
      <c r="G362" s="1018" t="s">
        <v>4035</v>
      </c>
      <c r="H362" s="1019">
        <v>24700000</v>
      </c>
      <c r="I362" s="960">
        <v>0</v>
      </c>
      <c r="J362" s="929">
        <f>H362-I362</f>
        <v>24700000</v>
      </c>
      <c r="K362" s="948">
        <v>0</v>
      </c>
    </row>
    <row r="363" spans="1:11" ht="60" customHeight="1" thickBot="1">
      <c r="A363" s="805"/>
      <c r="B363" s="187"/>
      <c r="C363" s="289"/>
      <c r="D363" s="187"/>
      <c r="E363" s="187"/>
      <c r="F363" s="1248" t="s">
        <v>4752</v>
      </c>
      <c r="G363" s="1249"/>
      <c r="H363" s="623">
        <f>SUM(H361:H362)</f>
        <v>25000000</v>
      </c>
      <c r="I363" s="843">
        <f>SUM(I362)</f>
        <v>0</v>
      </c>
      <c r="J363" s="873">
        <f>SUM(J361:J362)</f>
        <v>25000000</v>
      </c>
      <c r="K363" s="972">
        <v>0</v>
      </c>
    </row>
    <row r="364" spans="1:11" ht="15.75" thickBot="1">
      <c r="A364" s="440"/>
      <c r="B364" s="327"/>
      <c r="C364" s="345"/>
      <c r="D364" s="346"/>
      <c r="E364" s="1241"/>
      <c r="F364" s="1241"/>
      <c r="G364" s="1241"/>
      <c r="H364" s="1241"/>
      <c r="I364" s="1241"/>
      <c r="J364" s="1241"/>
      <c r="K364" s="1242"/>
    </row>
    <row r="365" spans="1:11" ht="29.25" thickBot="1">
      <c r="A365" s="805"/>
      <c r="B365" s="187"/>
      <c r="C365" s="286" t="s">
        <v>4529</v>
      </c>
      <c r="D365" s="567">
        <v>810</v>
      </c>
      <c r="E365" s="187"/>
      <c r="F365" s="333"/>
      <c r="G365" s="434" t="s">
        <v>4656</v>
      </c>
      <c r="H365" s="662"/>
      <c r="I365" s="867"/>
      <c r="J365" s="901"/>
      <c r="K365" s="942"/>
    </row>
    <row r="366" spans="1:11">
      <c r="A366" s="805"/>
      <c r="B366" s="187"/>
      <c r="C366" s="289" t="s">
        <v>4529</v>
      </c>
      <c r="D366" s="187">
        <v>810</v>
      </c>
      <c r="E366" s="187" t="s">
        <v>4657</v>
      </c>
      <c r="F366" s="406">
        <v>423</v>
      </c>
      <c r="G366" s="463" t="s">
        <v>3773</v>
      </c>
      <c r="H366" s="404">
        <v>200000</v>
      </c>
      <c r="I366" s="413">
        <v>0</v>
      </c>
      <c r="J366" s="593">
        <f>H366-I366</f>
        <v>200000</v>
      </c>
      <c r="K366" s="946">
        <v>0</v>
      </c>
    </row>
    <row r="367" spans="1:11" ht="15.75" thickBot="1">
      <c r="A367" s="805"/>
      <c r="B367" s="187"/>
      <c r="C367" s="289" t="s">
        <v>4529</v>
      </c>
      <c r="D367" s="187">
        <v>810</v>
      </c>
      <c r="E367" s="187" t="s">
        <v>4658</v>
      </c>
      <c r="F367" s="1016">
        <v>511</v>
      </c>
      <c r="G367" s="1018" t="s">
        <v>4035</v>
      </c>
      <c r="H367" s="1019">
        <v>1200000</v>
      </c>
      <c r="I367" s="960">
        <v>0</v>
      </c>
      <c r="J367" s="929">
        <f>H367-I367</f>
        <v>1200000</v>
      </c>
      <c r="K367" s="948">
        <v>0</v>
      </c>
    </row>
    <row r="368" spans="1:11" ht="51.75" customHeight="1" thickBot="1">
      <c r="A368" s="805"/>
      <c r="B368" s="187"/>
      <c r="C368" s="289"/>
      <c r="D368" s="187"/>
      <c r="E368" s="187"/>
      <c r="F368" s="1248" t="s">
        <v>4753</v>
      </c>
      <c r="G368" s="1249"/>
      <c r="H368" s="623">
        <f>SUM(H366:H367)</f>
        <v>1400000</v>
      </c>
      <c r="I368" s="843">
        <f>SUM(I367)</f>
        <v>0</v>
      </c>
      <c r="J368" s="873">
        <f>SUM(J366:J367)</f>
        <v>1400000</v>
      </c>
      <c r="K368" s="972">
        <v>0</v>
      </c>
    </row>
    <row r="369" spans="1:11" ht="15.75" thickBot="1">
      <c r="A369" s="440"/>
      <c r="B369" s="327"/>
      <c r="C369" s="345"/>
      <c r="D369" s="346"/>
      <c r="E369" s="1241"/>
      <c r="F369" s="1241"/>
      <c r="G369" s="1241"/>
      <c r="H369" s="1241"/>
      <c r="I369" s="1241"/>
      <c r="J369" s="1241"/>
      <c r="K369" s="1242"/>
    </row>
    <row r="370" spans="1:11">
      <c r="A370" s="440"/>
      <c r="B370" s="327"/>
      <c r="C370" s="345" t="s">
        <v>4342</v>
      </c>
      <c r="D370" s="346"/>
      <c r="E370" s="327"/>
      <c r="F370" s="483"/>
      <c r="G370" s="294" t="s">
        <v>4371</v>
      </c>
      <c r="H370" s="500"/>
      <c r="I370" s="867"/>
      <c r="J370" s="901"/>
      <c r="K370" s="942"/>
    </row>
    <row r="371" spans="1:11" ht="30.75" thickBot="1">
      <c r="A371" s="440"/>
      <c r="B371" s="327"/>
      <c r="C371" s="441"/>
      <c r="D371" s="327">
        <v>860</v>
      </c>
      <c r="E371" s="327"/>
      <c r="F371" s="566"/>
      <c r="G371" s="475" t="s">
        <v>4372</v>
      </c>
      <c r="H371" s="504"/>
      <c r="I371" s="846"/>
      <c r="J371" s="897"/>
      <c r="K371" s="943"/>
    </row>
    <row r="372" spans="1:11">
      <c r="A372" s="440"/>
      <c r="B372" s="327"/>
      <c r="C372" s="441" t="s">
        <v>4342</v>
      </c>
      <c r="D372" s="327">
        <v>860</v>
      </c>
      <c r="E372" s="327">
        <v>135</v>
      </c>
      <c r="F372" s="462">
        <v>422</v>
      </c>
      <c r="G372" s="407" t="s">
        <v>3772</v>
      </c>
      <c r="H372" s="416">
        <v>50000</v>
      </c>
      <c r="I372" s="818">
        <v>0</v>
      </c>
      <c r="J372" s="917">
        <f>H372-I372</f>
        <v>50000</v>
      </c>
      <c r="K372" s="946">
        <v>0</v>
      </c>
    </row>
    <row r="373" spans="1:11">
      <c r="A373" s="805"/>
      <c r="B373" s="187"/>
      <c r="C373" s="441" t="s">
        <v>4342</v>
      </c>
      <c r="D373" s="327">
        <v>860</v>
      </c>
      <c r="E373" s="187">
        <v>136</v>
      </c>
      <c r="F373" s="478">
        <v>423</v>
      </c>
      <c r="G373" s="1045" t="s">
        <v>3773</v>
      </c>
      <c r="H373" s="508">
        <v>550000</v>
      </c>
      <c r="I373" s="872">
        <v>409388.67</v>
      </c>
      <c r="J373" s="913">
        <f>H373-I373</f>
        <v>140611.33000000002</v>
      </c>
      <c r="K373" s="947">
        <v>74.430000000000007</v>
      </c>
    </row>
    <row r="374" spans="1:11">
      <c r="A374" s="509"/>
      <c r="B374" s="191"/>
      <c r="C374" s="441" t="s">
        <v>4342</v>
      </c>
      <c r="D374" s="327">
        <v>860</v>
      </c>
      <c r="E374" s="187">
        <v>137</v>
      </c>
      <c r="F374" s="1015">
        <v>426</v>
      </c>
      <c r="G374" s="1045" t="s">
        <v>3779</v>
      </c>
      <c r="H374" s="411">
        <v>100000</v>
      </c>
      <c r="I374" s="913">
        <v>56860</v>
      </c>
      <c r="J374" s="913">
        <f t="shared" ref="J374:J375" si="23">H374-I374</f>
        <v>43140</v>
      </c>
      <c r="K374" s="947">
        <v>56.86</v>
      </c>
    </row>
    <row r="375" spans="1:11" ht="15.75" thickBot="1">
      <c r="A375" s="805"/>
      <c r="B375" s="187"/>
      <c r="C375" s="441" t="s">
        <v>4342</v>
      </c>
      <c r="D375" s="327">
        <v>860</v>
      </c>
      <c r="E375" s="187">
        <v>138</v>
      </c>
      <c r="F375" s="1016">
        <v>481</v>
      </c>
      <c r="G375" s="1027" t="s">
        <v>4031</v>
      </c>
      <c r="H375" s="1019">
        <v>1000000</v>
      </c>
      <c r="I375" s="937">
        <v>0</v>
      </c>
      <c r="J375" s="821">
        <f t="shared" si="23"/>
        <v>1000000</v>
      </c>
      <c r="K375" s="948">
        <v>0</v>
      </c>
    </row>
    <row r="376" spans="1:11" ht="36" customHeight="1" thickBot="1">
      <c r="A376" s="805"/>
      <c r="B376" s="187"/>
      <c r="C376" s="286"/>
      <c r="D376" s="190"/>
      <c r="E376" s="187"/>
      <c r="F376" s="1248" t="s">
        <v>4671</v>
      </c>
      <c r="G376" s="1249"/>
      <c r="H376" s="405">
        <f>SUM(H372:H375)</f>
        <v>1700000</v>
      </c>
      <c r="I376" s="857">
        <f>SUM(I372:I375)</f>
        <v>466248.67</v>
      </c>
      <c r="J376" s="870">
        <f>SUM(J372:J375)</f>
        <v>1233751.33</v>
      </c>
      <c r="K376" s="971">
        <f>I376/H376*100</f>
        <v>27.426392352941175</v>
      </c>
    </row>
    <row r="377" spans="1:11" ht="72" customHeight="1" thickBot="1">
      <c r="A377" s="271"/>
      <c r="B377" s="274"/>
      <c r="C377" s="300"/>
      <c r="D377" s="301"/>
      <c r="E377" s="274"/>
      <c r="F377" s="1293" t="s">
        <v>4754</v>
      </c>
      <c r="G377" s="1294"/>
      <c r="H377" s="342">
        <f>H358+H363+H368+H376</f>
        <v>49100000</v>
      </c>
      <c r="I377" s="839">
        <f>I358+I363+I368+I376</f>
        <v>15703747.42</v>
      </c>
      <c r="J377" s="839">
        <f>J358+J376+J363+J368</f>
        <v>33396252.579999998</v>
      </c>
      <c r="K377" s="985">
        <f>I377/H377*100</f>
        <v>31.98319230142566</v>
      </c>
    </row>
    <row r="378" spans="1:11" ht="15.75" thickBot="1">
      <c r="A378" s="187"/>
      <c r="B378" s="187"/>
      <c r="C378" s="289"/>
      <c r="D378" s="187"/>
      <c r="E378" s="187"/>
      <c r="F378" s="347"/>
      <c r="G378" s="347"/>
      <c r="H378" s="348"/>
      <c r="I378" s="634"/>
      <c r="J378" s="634"/>
    </row>
    <row r="379" spans="1:11" ht="28.5">
      <c r="A379" s="333"/>
      <c r="B379" s="505"/>
      <c r="C379" s="506" t="s">
        <v>3595</v>
      </c>
      <c r="D379" s="507"/>
      <c r="E379" s="505"/>
      <c r="F379" s="483"/>
      <c r="G379" s="294" t="s">
        <v>4367</v>
      </c>
      <c r="H379" s="500"/>
      <c r="I379" s="867"/>
      <c r="J379" s="901"/>
      <c r="K379" s="942"/>
    </row>
    <row r="380" spans="1:11" ht="28.5">
      <c r="A380" s="440"/>
      <c r="B380" s="327"/>
      <c r="C380" s="345" t="s">
        <v>4402</v>
      </c>
      <c r="D380" s="346"/>
      <c r="E380" s="327"/>
      <c r="F380" s="452"/>
      <c r="G380" s="197" t="s">
        <v>4368</v>
      </c>
      <c r="H380" s="501"/>
      <c r="I380" s="871"/>
      <c r="J380" s="902"/>
      <c r="K380" s="943"/>
    </row>
    <row r="381" spans="1:11" ht="15.75" thickBot="1">
      <c r="A381" s="440"/>
      <c r="B381" s="327"/>
      <c r="C381" s="441" t="s">
        <v>4402</v>
      </c>
      <c r="D381" s="327">
        <v>820</v>
      </c>
      <c r="E381" s="327"/>
      <c r="F381" s="452"/>
      <c r="G381" s="193" t="s">
        <v>209</v>
      </c>
      <c r="H381" s="501"/>
      <c r="I381" s="871"/>
      <c r="J381" s="902"/>
      <c r="K381" s="943"/>
    </row>
    <row r="382" spans="1:11" ht="15.75" thickBot="1">
      <c r="A382" s="440"/>
      <c r="B382" s="327"/>
      <c r="C382" s="441" t="s">
        <v>4402</v>
      </c>
      <c r="D382" s="327">
        <v>820</v>
      </c>
      <c r="E382" s="327">
        <v>133</v>
      </c>
      <c r="F382" s="451">
        <v>481</v>
      </c>
      <c r="G382" s="552" t="s">
        <v>4031</v>
      </c>
      <c r="H382" s="553">
        <v>3500000</v>
      </c>
      <c r="I382" s="866">
        <v>1477441</v>
      </c>
      <c r="J382" s="895">
        <f>H382-I382</f>
        <v>2022559</v>
      </c>
      <c r="K382" s="944">
        <v>42.21</v>
      </c>
    </row>
    <row r="383" spans="1:11" ht="15.75" thickBot="1">
      <c r="A383" s="805"/>
      <c r="B383" s="187"/>
      <c r="C383" s="286"/>
      <c r="D383" s="190"/>
      <c r="E383" s="187"/>
      <c r="F383" s="1265" t="s">
        <v>4403</v>
      </c>
      <c r="G383" s="1274"/>
      <c r="H383" s="344">
        <f>SUM(H382:H382)</f>
        <v>3500000</v>
      </c>
      <c r="I383" s="349">
        <f>SUM(I382:I382)</f>
        <v>1477441</v>
      </c>
      <c r="J383" s="349">
        <f>SUM(J382:J382)</f>
        <v>2022559</v>
      </c>
      <c r="K383" s="972">
        <v>42.21</v>
      </c>
    </row>
    <row r="384" spans="1:11" ht="15.75" thickBot="1">
      <c r="A384" s="805"/>
      <c r="B384" s="187"/>
      <c r="C384" s="286"/>
      <c r="D384" s="190"/>
      <c r="E384" s="187"/>
      <c r="F384" s="187"/>
      <c r="G384" s="197"/>
      <c r="H384" s="250"/>
      <c r="I384" s="339"/>
      <c r="J384" s="1243"/>
      <c r="K384" s="1244"/>
    </row>
    <row r="385" spans="1:11" ht="28.5">
      <c r="A385" s="805"/>
      <c r="B385" s="327"/>
      <c r="C385" s="345" t="s">
        <v>4369</v>
      </c>
      <c r="D385" s="327"/>
      <c r="E385" s="327"/>
      <c r="F385" s="483"/>
      <c r="G385" s="479" t="s">
        <v>4370</v>
      </c>
      <c r="H385" s="500"/>
      <c r="I385" s="867"/>
      <c r="J385" s="901"/>
      <c r="K385" s="942"/>
    </row>
    <row r="386" spans="1:11" ht="15.75" thickBot="1">
      <c r="A386" s="805"/>
      <c r="B386" s="327"/>
      <c r="C386" s="441"/>
      <c r="D386" s="327">
        <v>830</v>
      </c>
      <c r="E386" s="502"/>
      <c r="F386" s="503"/>
      <c r="G386" s="480" t="s">
        <v>4291</v>
      </c>
      <c r="H386" s="504"/>
      <c r="I386" s="846"/>
      <c r="J386" s="897"/>
      <c r="K386" s="943"/>
    </row>
    <row r="387" spans="1:11">
      <c r="A387" s="805"/>
      <c r="B387" s="327"/>
      <c r="C387" s="441" t="s">
        <v>4369</v>
      </c>
      <c r="D387" s="327">
        <v>830</v>
      </c>
      <c r="E387" s="327">
        <v>134</v>
      </c>
      <c r="F387" s="462">
        <v>423</v>
      </c>
      <c r="G387" s="463" t="s">
        <v>3773</v>
      </c>
      <c r="H387" s="416">
        <v>3000000</v>
      </c>
      <c r="I387" s="864">
        <v>1800000</v>
      </c>
      <c r="J387" s="935">
        <f>H387-I387</f>
        <v>1200000</v>
      </c>
      <c r="K387" s="946">
        <v>60</v>
      </c>
    </row>
    <row r="388" spans="1:11" ht="15.75" thickBot="1">
      <c r="A388" s="805"/>
      <c r="B388" s="187"/>
      <c r="C388" s="289"/>
      <c r="D388" s="187"/>
      <c r="E388" s="187"/>
      <c r="F388" s="1267" t="s">
        <v>4404</v>
      </c>
      <c r="G388" s="1268"/>
      <c r="H388" s="405">
        <f>SUM(H387:H387)</f>
        <v>3000000</v>
      </c>
      <c r="I388" s="873">
        <f>SUM(I387:I387)</f>
        <v>1800000</v>
      </c>
      <c r="J388" s="857">
        <f>SUM(J387:J387)</f>
        <v>1200000</v>
      </c>
      <c r="K388" s="1046">
        <v>60</v>
      </c>
    </row>
    <row r="389" spans="1:11" ht="44.25" customHeight="1" thickBot="1">
      <c r="A389" s="271"/>
      <c r="B389" s="274"/>
      <c r="C389" s="290"/>
      <c r="D389" s="274"/>
      <c r="E389" s="274"/>
      <c r="F389" s="1293" t="s">
        <v>4633</v>
      </c>
      <c r="G389" s="1294"/>
      <c r="H389" s="342">
        <f>H383+H388</f>
        <v>6500000</v>
      </c>
      <c r="I389" s="839">
        <f>I383+I388</f>
        <v>3277441</v>
      </c>
      <c r="J389" s="839">
        <f>J383+J388</f>
        <v>3222559</v>
      </c>
      <c r="K389" s="985">
        <f>I389/H389*100</f>
        <v>50.422169230769228</v>
      </c>
    </row>
    <row r="390" spans="1:11" ht="15.75" thickBot="1">
      <c r="A390" s="187"/>
      <c r="B390" s="187"/>
      <c r="C390" s="289"/>
      <c r="D390" s="187"/>
      <c r="E390" s="187"/>
      <c r="F390" s="347"/>
      <c r="G390" s="347"/>
      <c r="H390" s="348"/>
      <c r="I390" s="634"/>
      <c r="J390" s="634"/>
    </row>
    <row r="391" spans="1:11">
      <c r="A391" s="281"/>
      <c r="B391" s="282"/>
      <c r="C391" s="283"/>
      <c r="D391" s="284" t="s">
        <v>4356</v>
      </c>
      <c r="E391" s="282"/>
      <c r="F391" s="539"/>
      <c r="G391" s="434" t="s">
        <v>4357</v>
      </c>
      <c r="H391" s="291"/>
      <c r="I391" s="825"/>
      <c r="J391" s="841"/>
      <c r="K391" s="942"/>
    </row>
    <row r="392" spans="1:11" ht="42.75">
      <c r="A392" s="537"/>
      <c r="B392" s="187"/>
      <c r="C392" s="195"/>
      <c r="D392" s="691" t="s">
        <v>4326</v>
      </c>
      <c r="E392" s="327"/>
      <c r="F392" s="452"/>
      <c r="G392" s="435" t="s">
        <v>4360</v>
      </c>
      <c r="H392" s="692"/>
      <c r="I392" s="840"/>
      <c r="J392" s="871"/>
      <c r="K392" s="943"/>
    </row>
    <row r="393" spans="1:11">
      <c r="A393" s="537"/>
      <c r="B393" s="187"/>
      <c r="C393" s="195"/>
      <c r="D393" s="486"/>
      <c r="E393" s="187"/>
      <c r="F393" s="296"/>
      <c r="G393" s="435"/>
      <c r="H393" s="292"/>
      <c r="I393" s="339"/>
      <c r="J393" s="340"/>
      <c r="K393" s="943"/>
    </row>
    <row r="394" spans="1:11" ht="28.5">
      <c r="A394" s="537"/>
      <c r="B394" s="187"/>
      <c r="C394" s="195">
        <v>2001</v>
      </c>
      <c r="D394" s="486"/>
      <c r="E394" s="187"/>
      <c r="F394" s="296"/>
      <c r="G394" s="435" t="s">
        <v>4358</v>
      </c>
      <c r="H394" s="292"/>
      <c r="I394" s="339"/>
      <c r="J394" s="340"/>
      <c r="K394" s="943"/>
    </row>
    <row r="395" spans="1:11" ht="15.75" thickBot="1">
      <c r="A395" s="537"/>
      <c r="B395" s="187"/>
      <c r="C395" s="320"/>
      <c r="D395" s="567">
        <v>911</v>
      </c>
      <c r="E395" s="287"/>
      <c r="F395" s="472"/>
      <c r="G395" s="436" t="s">
        <v>216</v>
      </c>
      <c r="H395" s="292"/>
      <c r="I395" s="339"/>
      <c r="J395" s="340"/>
      <c r="K395" s="943"/>
    </row>
    <row r="396" spans="1:11">
      <c r="A396" s="537"/>
      <c r="B396" s="187"/>
      <c r="C396" s="320" t="s">
        <v>4134</v>
      </c>
      <c r="D396" s="187">
        <v>911</v>
      </c>
      <c r="E396" s="327">
        <v>139</v>
      </c>
      <c r="F396" s="962">
        <v>423</v>
      </c>
      <c r="G396" s="433" t="s">
        <v>3773</v>
      </c>
      <c r="H396" s="416">
        <v>0</v>
      </c>
      <c r="I396" s="864">
        <v>0</v>
      </c>
      <c r="J396" s="935">
        <f>SUM(H396:I396)</f>
        <v>0</v>
      </c>
      <c r="K396" s="946">
        <f>H396-I396</f>
        <v>0</v>
      </c>
    </row>
    <row r="397" spans="1:11" ht="15.75" thickBot="1">
      <c r="A397" s="537"/>
      <c r="B397" s="187"/>
      <c r="C397" s="320" t="s">
        <v>4134</v>
      </c>
      <c r="D397" s="187">
        <v>911</v>
      </c>
      <c r="E397" s="327">
        <v>140</v>
      </c>
      <c r="F397" s="428">
        <v>511</v>
      </c>
      <c r="G397" s="429" t="s">
        <v>4035</v>
      </c>
      <c r="H397" s="430">
        <v>16400000</v>
      </c>
      <c r="I397" s="823">
        <v>6294501.9699999997</v>
      </c>
      <c r="J397" s="919">
        <f>H397-I397</f>
        <v>10105498.030000001</v>
      </c>
      <c r="K397" s="948">
        <v>38.380000000000003</v>
      </c>
    </row>
    <row r="398" spans="1:11" ht="24.75" customHeight="1" thickBot="1">
      <c r="A398" s="537"/>
      <c r="B398" s="187"/>
      <c r="C398" s="320"/>
      <c r="D398" s="187"/>
      <c r="E398" s="187"/>
      <c r="F398" s="1265" t="s">
        <v>4359</v>
      </c>
      <c r="G398" s="1274"/>
      <c r="H398" s="344">
        <f>SUM(H396:H397)</f>
        <v>16400000</v>
      </c>
      <c r="I398" s="831">
        <f>SUM(I396:I397)</f>
        <v>6294501.9699999997</v>
      </c>
      <c r="J398" s="349">
        <f>SUM(J396:J397)</f>
        <v>10105498.030000001</v>
      </c>
      <c r="K398" s="591">
        <v>38.380000000000003</v>
      </c>
    </row>
    <row r="399" spans="1:11" ht="48" customHeight="1" thickBot="1">
      <c r="A399" s="271"/>
      <c r="B399" s="274"/>
      <c r="C399" s="322"/>
      <c r="D399" s="274"/>
      <c r="E399" s="274"/>
      <c r="F399" s="1250" t="s">
        <v>4755</v>
      </c>
      <c r="G399" s="1251"/>
      <c r="H399" s="471">
        <f>H398</f>
        <v>16400000</v>
      </c>
      <c r="I399" s="874">
        <f>I398</f>
        <v>6294501.9699999997</v>
      </c>
      <c r="J399" s="904">
        <f>J398</f>
        <v>10105498.030000001</v>
      </c>
      <c r="K399" s="904">
        <v>38.380000000000003</v>
      </c>
    </row>
    <row r="400" spans="1:11" ht="15.75" thickBot="1">
      <c r="A400" s="461"/>
      <c r="B400" s="187"/>
      <c r="C400" s="289"/>
      <c r="D400" s="187"/>
      <c r="E400" s="187"/>
      <c r="F400" s="347"/>
      <c r="G400" s="347"/>
      <c r="H400" s="348"/>
      <c r="I400" s="634"/>
      <c r="J400" s="634"/>
    </row>
    <row r="401" spans="1:11" ht="28.5">
      <c r="A401" s="281"/>
      <c r="B401" s="282"/>
      <c r="C401" s="283" t="s">
        <v>3583</v>
      </c>
      <c r="D401" s="284"/>
      <c r="E401" s="285"/>
      <c r="F401" s="539"/>
      <c r="G401" s="492" t="s">
        <v>4363</v>
      </c>
      <c r="H401" s="305"/>
      <c r="I401" s="841"/>
      <c r="J401" s="844"/>
      <c r="K401" s="942"/>
    </row>
    <row r="402" spans="1:11">
      <c r="A402" s="805"/>
      <c r="B402" s="187"/>
      <c r="C402" s="286" t="s">
        <v>3980</v>
      </c>
      <c r="D402" s="190"/>
      <c r="E402" s="806"/>
      <c r="F402" s="296"/>
      <c r="G402" s="493" t="s">
        <v>3975</v>
      </c>
      <c r="H402" s="306"/>
      <c r="I402" s="340"/>
      <c r="J402" s="845"/>
      <c r="K402" s="943"/>
    </row>
    <row r="403" spans="1:11" ht="15.75" thickBot="1">
      <c r="A403" s="805"/>
      <c r="B403" s="187"/>
      <c r="C403" s="286"/>
      <c r="D403" s="187">
        <v>912</v>
      </c>
      <c r="E403" s="288"/>
      <c r="F403" s="472"/>
      <c r="G403" s="494" t="s">
        <v>217</v>
      </c>
      <c r="H403" s="306"/>
      <c r="I403" s="340"/>
      <c r="J403" s="845"/>
      <c r="K403" s="943"/>
    </row>
    <row r="404" spans="1:11" ht="79.5" customHeight="1">
      <c r="A404" s="805"/>
      <c r="B404" s="187"/>
      <c r="C404" s="289" t="s">
        <v>3980</v>
      </c>
      <c r="D404" s="187">
        <v>912</v>
      </c>
      <c r="E404" s="187">
        <v>141</v>
      </c>
      <c r="F404" s="437">
        <v>4631</v>
      </c>
      <c r="G404" s="561" t="s">
        <v>4757</v>
      </c>
      <c r="H404" s="645">
        <v>37500000</v>
      </c>
      <c r="I404" s="875">
        <v>27304677.289999999</v>
      </c>
      <c r="J404" s="938">
        <f>H404-I404</f>
        <v>10195322.710000001</v>
      </c>
      <c r="K404" s="1171">
        <v>72.81</v>
      </c>
    </row>
    <row r="405" spans="1:11" ht="81.75" customHeight="1" thickBot="1">
      <c r="A405" s="440"/>
      <c r="B405" s="327"/>
      <c r="C405" s="441" t="s">
        <v>3980</v>
      </c>
      <c r="D405" s="327">
        <v>912</v>
      </c>
      <c r="E405" s="327">
        <v>142</v>
      </c>
      <c r="F405" s="1025">
        <v>4632</v>
      </c>
      <c r="G405" s="1047" t="s">
        <v>4759</v>
      </c>
      <c r="H405" s="1050">
        <v>6200000</v>
      </c>
      <c r="I405" s="1048">
        <v>4754556.09</v>
      </c>
      <c r="J405" s="1049">
        <f>H405-I405</f>
        <v>1445443.9100000001</v>
      </c>
      <c r="K405" s="1172">
        <v>75.94</v>
      </c>
    </row>
    <row r="406" spans="1:11" ht="39" customHeight="1" thickBot="1">
      <c r="A406" s="805"/>
      <c r="B406" s="187"/>
      <c r="C406" s="289"/>
      <c r="D406" s="187"/>
      <c r="E406" s="187"/>
      <c r="F406" s="1248" t="s">
        <v>4625</v>
      </c>
      <c r="G406" s="1249"/>
      <c r="H406" s="344">
        <f>SUM(H404:H405)</f>
        <v>43700000</v>
      </c>
      <c r="I406" s="831">
        <f>SUM(I404:I405)</f>
        <v>32059233.379999999</v>
      </c>
      <c r="J406" s="870">
        <f>SUM(J404:J405)</f>
        <v>11640766.620000001</v>
      </c>
      <c r="K406" s="843">
        <f>I406/H406*100</f>
        <v>73.362090114416475</v>
      </c>
    </row>
    <row r="407" spans="1:11" ht="15.75" thickBot="1">
      <c r="A407" s="805"/>
      <c r="B407" s="187"/>
      <c r="C407" s="289"/>
      <c r="D407" s="187"/>
      <c r="E407" s="1232"/>
      <c r="F407" s="1232"/>
      <c r="G407" s="1232"/>
      <c r="H407" s="1232"/>
      <c r="I407" s="1232"/>
      <c r="J407" s="1232"/>
      <c r="K407" s="1233"/>
    </row>
    <row r="408" spans="1:11" ht="43.5" thickBot="1">
      <c r="A408" s="805"/>
      <c r="B408" s="327"/>
      <c r="C408" s="345" t="s">
        <v>4150</v>
      </c>
      <c r="D408" s="327"/>
      <c r="E408" s="327"/>
      <c r="F408" s="451"/>
      <c r="G408" s="303" t="s">
        <v>4323</v>
      </c>
      <c r="H408" s="418"/>
      <c r="I408" s="830"/>
      <c r="J408" s="867"/>
      <c r="K408" s="942"/>
    </row>
    <row r="409" spans="1:11">
      <c r="A409" s="805"/>
      <c r="B409" s="327"/>
      <c r="C409" s="441" t="s">
        <v>4150</v>
      </c>
      <c r="D409" s="327">
        <v>912</v>
      </c>
      <c r="E409" s="327">
        <v>143</v>
      </c>
      <c r="F409" s="333">
        <v>423</v>
      </c>
      <c r="G409" s="407" t="s">
        <v>3773</v>
      </c>
      <c r="H409" s="642">
        <v>500000</v>
      </c>
      <c r="I409" s="840">
        <v>0</v>
      </c>
      <c r="J409" s="818">
        <f>H409-I409</f>
        <v>500000</v>
      </c>
      <c r="K409" s="946">
        <v>0</v>
      </c>
    </row>
    <row r="410" spans="1:11" ht="15.75" thickBot="1">
      <c r="A410" s="805"/>
      <c r="B410" s="327"/>
      <c r="C410" s="441" t="s">
        <v>4150</v>
      </c>
      <c r="D410" s="327">
        <v>912</v>
      </c>
      <c r="E410" s="327">
        <v>144</v>
      </c>
      <c r="F410" s="1016">
        <v>511</v>
      </c>
      <c r="G410" s="450" t="s">
        <v>4035</v>
      </c>
      <c r="H410" s="1051">
        <v>21000000</v>
      </c>
      <c r="I410" s="919">
        <v>0</v>
      </c>
      <c r="J410" s="937">
        <f>H410-I410</f>
        <v>21000000</v>
      </c>
      <c r="K410" s="948">
        <v>0</v>
      </c>
    </row>
    <row r="411" spans="1:11" ht="52.5" customHeight="1" thickBot="1">
      <c r="A411" s="805"/>
      <c r="B411" s="327"/>
      <c r="C411" s="441"/>
      <c r="D411" s="327"/>
      <c r="E411" s="327"/>
      <c r="F411" s="1248" t="s">
        <v>4720</v>
      </c>
      <c r="G411" s="1249"/>
      <c r="H411" s="344">
        <f>SUM(H409:H410)</f>
        <v>21500000</v>
      </c>
      <c r="I411" s="831">
        <f>SUM(I409:I410)</f>
        <v>0</v>
      </c>
      <c r="J411" s="843">
        <f>SUM(J409:J410)</f>
        <v>21500000</v>
      </c>
      <c r="K411" s="843">
        <v>0</v>
      </c>
    </row>
    <row r="412" spans="1:11" ht="57" customHeight="1" thickBot="1">
      <c r="A412" s="271"/>
      <c r="B412" s="274"/>
      <c r="C412" s="300"/>
      <c r="D412" s="301"/>
      <c r="E412" s="275"/>
      <c r="F412" s="1293" t="s">
        <v>4721</v>
      </c>
      <c r="G412" s="1294"/>
      <c r="H412" s="341">
        <f>H406+H411</f>
        <v>65200000</v>
      </c>
      <c r="I412" s="839">
        <f>I406+I411</f>
        <v>32059233.379999999</v>
      </c>
      <c r="J412" s="905">
        <f>J406+J411</f>
        <v>33140766.620000001</v>
      </c>
      <c r="K412" s="839">
        <f>I412/H412*100</f>
        <v>49.170603343558277</v>
      </c>
    </row>
    <row r="413" spans="1:11" ht="15.75" thickBot="1">
      <c r="A413" s="461"/>
      <c r="C413" s="188"/>
      <c r="D413" s="185"/>
      <c r="G413" s="197"/>
    </row>
    <row r="414" spans="1:11">
      <c r="A414" s="281"/>
      <c r="B414" s="282"/>
      <c r="C414" s="283" t="s">
        <v>3586</v>
      </c>
      <c r="D414" s="284"/>
      <c r="E414" s="285"/>
      <c r="F414" s="539"/>
      <c r="G414" s="294" t="s">
        <v>4267</v>
      </c>
      <c r="H414" s="305"/>
      <c r="I414" s="841"/>
      <c r="J414" s="844"/>
      <c r="K414" s="942"/>
    </row>
    <row r="415" spans="1:11">
      <c r="A415" s="537"/>
      <c r="B415" s="187"/>
      <c r="C415" s="286" t="s">
        <v>4045</v>
      </c>
      <c r="D415" s="190"/>
      <c r="E415" s="538"/>
      <c r="F415" s="296"/>
      <c r="G415" s="197" t="s">
        <v>3976</v>
      </c>
      <c r="H415" s="306"/>
      <c r="I415" s="340"/>
      <c r="J415" s="845"/>
      <c r="K415" s="943"/>
    </row>
    <row r="416" spans="1:11" ht="15.75" thickBot="1">
      <c r="A416" s="537"/>
      <c r="B416" s="187"/>
      <c r="C416" s="286"/>
      <c r="D416" s="187">
        <v>920</v>
      </c>
      <c r="E416" s="288"/>
      <c r="F416" s="297"/>
      <c r="G416" s="193" t="s">
        <v>222</v>
      </c>
      <c r="H416" s="306"/>
      <c r="I416" s="340"/>
      <c r="J416" s="845"/>
      <c r="K416" s="943"/>
    </row>
    <row r="417" spans="1:25" ht="45.75" customHeight="1">
      <c r="A417" s="537"/>
      <c r="B417" s="187"/>
      <c r="C417" s="289" t="s">
        <v>4045</v>
      </c>
      <c r="D417" s="187">
        <v>920</v>
      </c>
      <c r="E417" s="187">
        <v>145</v>
      </c>
      <c r="F417" s="406">
        <v>4631</v>
      </c>
      <c r="G417" s="407" t="s">
        <v>4760</v>
      </c>
      <c r="H417" s="619">
        <v>17000000</v>
      </c>
      <c r="I417" s="876">
        <v>11924644.640000001</v>
      </c>
      <c r="J417" s="875">
        <f>H417-I417</f>
        <v>5075355.3599999994</v>
      </c>
      <c r="K417" s="1171">
        <v>70.14</v>
      </c>
    </row>
    <row r="418" spans="1:25" ht="48" customHeight="1" thickBot="1">
      <c r="A418" s="537"/>
      <c r="B418" s="187"/>
      <c r="C418" s="289" t="s">
        <v>4045</v>
      </c>
      <c r="D418" s="187">
        <v>920</v>
      </c>
      <c r="E418" s="187">
        <v>146</v>
      </c>
      <c r="F418" s="547">
        <v>4632</v>
      </c>
      <c r="G418" s="548" t="s">
        <v>4758</v>
      </c>
      <c r="H418" s="579">
        <v>4500000</v>
      </c>
      <c r="I418" s="877">
        <v>546732.6</v>
      </c>
      <c r="J418" s="939">
        <f>H418-I418</f>
        <v>3953267.4</v>
      </c>
      <c r="K418" s="1172">
        <v>13.16</v>
      </c>
    </row>
    <row r="419" spans="1:25" ht="15.75" thickBot="1">
      <c r="A419" s="537"/>
      <c r="B419" s="187"/>
      <c r="C419" s="289"/>
      <c r="D419" s="187"/>
      <c r="E419" s="187"/>
      <c r="F419" s="1265" t="s">
        <v>4265</v>
      </c>
      <c r="G419" s="1274"/>
      <c r="H419" s="344">
        <f>SUM(H417:H418)</f>
        <v>21500000</v>
      </c>
      <c r="I419" s="831">
        <f>SUM(I417:I418)</f>
        <v>12471377.24</v>
      </c>
      <c r="J419" s="870">
        <f>H419-I419</f>
        <v>9028622.7599999998</v>
      </c>
      <c r="K419" s="843">
        <f>I419/H419*100</f>
        <v>58.006405767441862</v>
      </c>
    </row>
    <row r="420" spans="1:25" ht="36.75" customHeight="1" thickBot="1">
      <c r="A420" s="187"/>
      <c r="B420" s="187"/>
      <c r="C420" s="286"/>
      <c r="D420" s="190"/>
      <c r="E420" s="187"/>
      <c r="F420" s="1293" t="s">
        <v>4634</v>
      </c>
      <c r="G420" s="1294"/>
      <c r="H420" s="341">
        <f>H419</f>
        <v>21500000</v>
      </c>
      <c r="I420" s="839">
        <f>I419</f>
        <v>12471377.24</v>
      </c>
      <c r="J420" s="906">
        <f>J419</f>
        <v>9028622.7599999998</v>
      </c>
      <c r="K420" s="1052">
        <f>I420/H420*100</f>
        <v>58.006405767441862</v>
      </c>
    </row>
    <row r="421" spans="1:25" ht="117.75" customHeight="1" thickBot="1">
      <c r="A421" s="271"/>
      <c r="B421" s="274"/>
      <c r="C421" s="300"/>
      <c r="D421" s="301"/>
      <c r="E421" s="274"/>
      <c r="F421" s="1295" t="s">
        <v>4756</v>
      </c>
      <c r="G421" s="1296"/>
      <c r="H421" s="512">
        <f>H110+H118+H160+H168+H181+H246+H277+H313+H340+H352+H377+H389+H399+H412+H420</f>
        <v>691787641</v>
      </c>
      <c r="I421" s="878">
        <f>I110+I118+I160+I168+I181+I246+I277+I313+I340+I352+I377+I389+I399+I412+I420</f>
        <v>304426888.74000001</v>
      </c>
      <c r="J421" s="878">
        <f>J160+J168+J277+J313+J340+J181+J246+J399+J412+J420+J110+J352+J389+J377+J118</f>
        <v>387360752.25999999</v>
      </c>
      <c r="K421" s="878">
        <f>I421/H421*100</f>
        <v>44.005829346696871</v>
      </c>
    </row>
    <row r="422" spans="1:25" s="444" customFormat="1" ht="17.25" customHeight="1" thickBot="1">
      <c r="A422" s="657"/>
      <c r="B422" s="658"/>
      <c r="C422" s="659"/>
      <c r="D422" s="650"/>
      <c r="E422" s="658"/>
      <c r="F422" s="660"/>
      <c r="G422" s="660"/>
      <c r="H422" s="661"/>
      <c r="I422" s="879"/>
      <c r="J422" s="1245"/>
      <c r="K422" s="1245"/>
      <c r="L422" s="443"/>
      <c r="M422" s="536"/>
      <c r="N422" s="536"/>
      <c r="O422" s="443"/>
      <c r="P422" s="443"/>
      <c r="Q422" s="443"/>
      <c r="R422" s="443"/>
      <c r="S422" s="443"/>
      <c r="T422" s="443"/>
      <c r="U422" s="443"/>
      <c r="V422" s="443"/>
      <c r="W422" s="443"/>
      <c r="X422" s="443"/>
      <c r="Y422" s="443"/>
    </row>
    <row r="423" spans="1:25" ht="15.75" thickBot="1">
      <c r="A423" s="276">
        <v>5</v>
      </c>
      <c r="B423" s="276">
        <v>1</v>
      </c>
      <c r="C423" s="670"/>
      <c r="D423" s="278"/>
      <c r="E423" s="278"/>
      <c r="F423" s="278"/>
      <c r="G423" s="293" t="s">
        <v>4263</v>
      </c>
      <c r="H423" s="280"/>
      <c r="I423" s="812"/>
      <c r="J423" s="1246"/>
      <c r="K423" s="1247"/>
    </row>
    <row r="424" spans="1:25" ht="27" customHeight="1">
      <c r="A424" s="281"/>
      <c r="B424" s="282"/>
      <c r="C424" s="283" t="s">
        <v>3580</v>
      </c>
      <c r="D424" s="284"/>
      <c r="E424" s="285"/>
      <c r="F424" s="285"/>
      <c r="G424" s="197" t="s">
        <v>4373</v>
      </c>
      <c r="H424" s="305"/>
      <c r="I424" s="841"/>
      <c r="J424" s="844"/>
      <c r="K424" s="942"/>
    </row>
    <row r="425" spans="1:25" ht="28.5">
      <c r="A425" s="270"/>
      <c r="B425" s="187"/>
      <c r="C425" s="286" t="s">
        <v>4043</v>
      </c>
      <c r="D425" s="190"/>
      <c r="E425" s="273"/>
      <c r="F425" s="273"/>
      <c r="G425" s="197" t="s">
        <v>4472</v>
      </c>
      <c r="H425" s="306"/>
      <c r="I425" s="340"/>
      <c r="J425" s="845"/>
      <c r="K425" s="943"/>
    </row>
    <row r="426" spans="1:25" ht="15.75" thickBot="1">
      <c r="A426" s="270"/>
      <c r="B426" s="187"/>
      <c r="C426" s="286"/>
      <c r="D426" s="187">
        <v>911</v>
      </c>
      <c r="E426" s="273"/>
      <c r="F426" s="273"/>
      <c r="G426" s="193" t="s">
        <v>4044</v>
      </c>
      <c r="H426" s="306"/>
      <c r="I426" s="340"/>
      <c r="J426" s="845"/>
      <c r="K426" s="945"/>
    </row>
    <row r="427" spans="1:25">
      <c r="A427" s="270"/>
      <c r="B427" s="187"/>
      <c r="C427" s="289" t="s">
        <v>4043</v>
      </c>
      <c r="D427" s="187">
        <v>911</v>
      </c>
      <c r="E427" s="187">
        <v>147</v>
      </c>
      <c r="F427" s="1177">
        <v>411</v>
      </c>
      <c r="G427" s="482" t="s">
        <v>4020</v>
      </c>
      <c r="H427" s="416">
        <v>30500000</v>
      </c>
      <c r="I427" s="864">
        <v>22384306</v>
      </c>
      <c r="J427" s="935">
        <f>H427-I427</f>
        <v>8115694</v>
      </c>
      <c r="K427" s="946">
        <f>I427/H427*100</f>
        <v>73.391167213114755</v>
      </c>
    </row>
    <row r="428" spans="1:25">
      <c r="A428" s="270"/>
      <c r="B428" s="187"/>
      <c r="C428" s="289" t="s">
        <v>4043</v>
      </c>
      <c r="D428" s="187">
        <v>911</v>
      </c>
      <c r="E428" s="187">
        <v>148</v>
      </c>
      <c r="F428" s="1178">
        <v>412</v>
      </c>
      <c r="G428" s="551" t="s">
        <v>3758</v>
      </c>
      <c r="H428" s="411">
        <v>5570000</v>
      </c>
      <c r="I428" s="880">
        <v>4006790</v>
      </c>
      <c r="J428" s="644">
        <f>H428-I428</f>
        <v>1563210</v>
      </c>
      <c r="K428" s="947">
        <f>I428/H428*100</f>
        <v>71.935188509874322</v>
      </c>
    </row>
    <row r="429" spans="1:25">
      <c r="A429" s="270"/>
      <c r="B429" s="187"/>
      <c r="C429" s="289" t="s">
        <v>4043</v>
      </c>
      <c r="D429" s="187">
        <v>911</v>
      </c>
      <c r="E429" s="187">
        <v>149</v>
      </c>
      <c r="F429" s="1178">
        <v>414</v>
      </c>
      <c r="G429" s="446" t="s">
        <v>3761</v>
      </c>
      <c r="H429" s="411">
        <v>1650000</v>
      </c>
      <c r="I429" s="880">
        <v>1562630.58</v>
      </c>
      <c r="J429" s="644">
        <f t="shared" ref="J429:J440" si="24">H429-I429</f>
        <v>87369.419999999925</v>
      </c>
      <c r="K429" s="947">
        <f t="shared" ref="K429:K440" si="25">I429/H429*100</f>
        <v>94.704883636363647</v>
      </c>
    </row>
    <row r="430" spans="1:25">
      <c r="A430" s="270"/>
      <c r="B430" s="187"/>
      <c r="C430" s="289" t="s">
        <v>4043</v>
      </c>
      <c r="D430" s="187">
        <v>911</v>
      </c>
      <c r="E430" s="187">
        <v>150</v>
      </c>
      <c r="F430" s="1178">
        <v>415</v>
      </c>
      <c r="G430" s="446" t="s">
        <v>4028</v>
      </c>
      <c r="H430" s="411">
        <v>950000</v>
      </c>
      <c r="I430" s="880">
        <v>545684</v>
      </c>
      <c r="J430" s="644">
        <f t="shared" si="24"/>
        <v>404316</v>
      </c>
      <c r="K430" s="947">
        <f t="shared" si="25"/>
        <v>57.440421052631571</v>
      </c>
    </row>
    <row r="431" spans="1:25">
      <c r="A431" s="270"/>
      <c r="B431" s="187"/>
      <c r="C431" s="289" t="s">
        <v>4043</v>
      </c>
      <c r="D431" s="187">
        <v>911</v>
      </c>
      <c r="E431" s="187">
        <v>151</v>
      </c>
      <c r="F431" s="1178">
        <v>416</v>
      </c>
      <c r="G431" s="446" t="s">
        <v>4029</v>
      </c>
      <c r="H431" s="411">
        <v>250000</v>
      </c>
      <c r="I431" s="880">
        <v>191183.45</v>
      </c>
      <c r="J431" s="644">
        <f t="shared" si="24"/>
        <v>58816.549999999988</v>
      </c>
      <c r="K431" s="947">
        <f t="shared" si="25"/>
        <v>76.473380000000006</v>
      </c>
    </row>
    <row r="432" spans="1:25">
      <c r="A432" s="270"/>
      <c r="B432" s="187"/>
      <c r="C432" s="289" t="s">
        <v>4043</v>
      </c>
      <c r="D432" s="187">
        <v>911</v>
      </c>
      <c r="E432" s="187">
        <v>152</v>
      </c>
      <c r="F432" s="1178">
        <v>421</v>
      </c>
      <c r="G432" s="446" t="s">
        <v>3771</v>
      </c>
      <c r="H432" s="411">
        <v>3400000</v>
      </c>
      <c r="I432" s="880">
        <v>2061692.06</v>
      </c>
      <c r="J432" s="644">
        <f t="shared" si="24"/>
        <v>1338307.94</v>
      </c>
      <c r="K432" s="947">
        <f t="shared" si="25"/>
        <v>60.638001764705884</v>
      </c>
    </row>
    <row r="433" spans="1:11">
      <c r="A433" s="270"/>
      <c r="B433" s="187"/>
      <c r="C433" s="289" t="s">
        <v>4043</v>
      </c>
      <c r="D433" s="187">
        <v>911</v>
      </c>
      <c r="E433" s="187">
        <v>153</v>
      </c>
      <c r="F433" s="448">
        <v>422</v>
      </c>
      <c r="G433" s="427" t="s">
        <v>3772</v>
      </c>
      <c r="H433" s="411">
        <v>580000</v>
      </c>
      <c r="I433" s="880">
        <v>317340</v>
      </c>
      <c r="J433" s="644">
        <f t="shared" si="24"/>
        <v>262660</v>
      </c>
      <c r="K433" s="947">
        <f t="shared" si="25"/>
        <v>54.713793103448275</v>
      </c>
    </row>
    <row r="434" spans="1:11">
      <c r="A434" s="270"/>
      <c r="B434" s="187"/>
      <c r="C434" s="289" t="s">
        <v>4043</v>
      </c>
      <c r="D434" s="187">
        <v>911</v>
      </c>
      <c r="E434" s="187">
        <v>154</v>
      </c>
      <c r="F434" s="448">
        <v>423</v>
      </c>
      <c r="G434" s="427" t="s">
        <v>3773</v>
      </c>
      <c r="H434" s="411">
        <v>4100000</v>
      </c>
      <c r="I434" s="880">
        <v>2623260.4500000002</v>
      </c>
      <c r="J434" s="644">
        <f t="shared" si="24"/>
        <v>1476739.5499999998</v>
      </c>
      <c r="K434" s="947">
        <f t="shared" si="25"/>
        <v>63.981962195121952</v>
      </c>
    </row>
    <row r="435" spans="1:11">
      <c r="A435" s="270"/>
      <c r="B435" s="187"/>
      <c r="C435" s="289" t="s">
        <v>4043</v>
      </c>
      <c r="D435" s="187">
        <v>911</v>
      </c>
      <c r="E435" s="187">
        <v>155</v>
      </c>
      <c r="F435" s="448">
        <v>424</v>
      </c>
      <c r="G435" s="427" t="s">
        <v>3775</v>
      </c>
      <c r="H435" s="411">
        <v>350000</v>
      </c>
      <c r="I435" s="880">
        <v>225982.2</v>
      </c>
      <c r="J435" s="644">
        <f t="shared" si="24"/>
        <v>124017.79999999999</v>
      </c>
      <c r="K435" s="947">
        <f t="shared" si="25"/>
        <v>64.566342857142857</v>
      </c>
    </row>
    <row r="436" spans="1:11">
      <c r="A436" s="270"/>
      <c r="B436" s="187"/>
      <c r="C436" s="289" t="s">
        <v>4043</v>
      </c>
      <c r="D436" s="187">
        <v>911</v>
      </c>
      <c r="E436" s="187">
        <v>156</v>
      </c>
      <c r="F436" s="448">
        <v>425</v>
      </c>
      <c r="G436" s="427" t="s">
        <v>4030</v>
      </c>
      <c r="H436" s="411">
        <v>500000</v>
      </c>
      <c r="I436" s="880">
        <v>98105</v>
      </c>
      <c r="J436" s="644">
        <f t="shared" si="24"/>
        <v>401895</v>
      </c>
      <c r="K436" s="947">
        <f t="shared" si="25"/>
        <v>19.620999999999999</v>
      </c>
    </row>
    <row r="437" spans="1:11">
      <c r="A437" s="270"/>
      <c r="B437" s="187"/>
      <c r="C437" s="289" t="s">
        <v>4043</v>
      </c>
      <c r="D437" s="187">
        <v>911</v>
      </c>
      <c r="E437" s="187">
        <v>157</v>
      </c>
      <c r="F437" s="448">
        <v>426</v>
      </c>
      <c r="G437" s="427" t="s">
        <v>3779</v>
      </c>
      <c r="H437" s="411">
        <v>5300000</v>
      </c>
      <c r="I437" s="880">
        <v>2653491.77</v>
      </c>
      <c r="J437" s="644">
        <f t="shared" si="24"/>
        <v>2646508.23</v>
      </c>
      <c r="K437" s="947">
        <f t="shared" si="25"/>
        <v>50.065882452830188</v>
      </c>
    </row>
    <row r="438" spans="1:11">
      <c r="A438" s="270"/>
      <c r="B438" s="187"/>
      <c r="C438" s="289" t="s">
        <v>4043</v>
      </c>
      <c r="D438" s="187">
        <v>911</v>
      </c>
      <c r="E438" s="187">
        <v>158</v>
      </c>
      <c r="F438" s="448">
        <v>465</v>
      </c>
      <c r="G438" s="426" t="s">
        <v>4022</v>
      </c>
      <c r="H438" s="411">
        <v>3200000</v>
      </c>
      <c r="I438" s="880">
        <v>2248730</v>
      </c>
      <c r="J438" s="644">
        <f t="shared" si="24"/>
        <v>951270</v>
      </c>
      <c r="K438" s="947">
        <f t="shared" si="25"/>
        <v>70.272812500000001</v>
      </c>
    </row>
    <row r="439" spans="1:11">
      <c r="A439" s="724"/>
      <c r="B439" s="187"/>
      <c r="C439" s="289" t="s">
        <v>4043</v>
      </c>
      <c r="D439" s="187">
        <v>911</v>
      </c>
      <c r="E439" s="187">
        <v>159</v>
      </c>
      <c r="F439" s="448">
        <v>482</v>
      </c>
      <c r="G439" s="426" t="s">
        <v>4032</v>
      </c>
      <c r="H439" s="411">
        <v>50000</v>
      </c>
      <c r="I439" s="880">
        <v>15150</v>
      </c>
      <c r="J439" s="644">
        <f t="shared" si="24"/>
        <v>34850</v>
      </c>
      <c r="K439" s="947">
        <f t="shared" si="25"/>
        <v>30.3</v>
      </c>
    </row>
    <row r="440" spans="1:11" ht="15.75" thickBot="1">
      <c r="A440" s="270"/>
      <c r="B440" s="187"/>
      <c r="C440" s="289" t="s">
        <v>4043</v>
      </c>
      <c r="D440" s="187">
        <v>911</v>
      </c>
      <c r="E440" s="187">
        <v>160</v>
      </c>
      <c r="F440" s="449">
        <v>512</v>
      </c>
      <c r="G440" s="447" t="s">
        <v>4036</v>
      </c>
      <c r="H440" s="412">
        <v>600000</v>
      </c>
      <c r="I440" s="887">
        <v>492540</v>
      </c>
      <c r="J440" s="919">
        <f t="shared" si="24"/>
        <v>107460</v>
      </c>
      <c r="K440" s="990">
        <f t="shared" si="25"/>
        <v>82.09</v>
      </c>
    </row>
    <row r="441" spans="1:11" ht="25.5" customHeight="1" thickBot="1">
      <c r="A441" s="187"/>
      <c r="B441" s="187"/>
      <c r="C441" s="286"/>
      <c r="D441" s="190"/>
      <c r="E441" s="187"/>
      <c r="F441" s="1267" t="s">
        <v>4264</v>
      </c>
      <c r="G441" s="1268"/>
      <c r="H441" s="343">
        <f>SUM(H427:H440)</f>
        <v>57000000</v>
      </c>
      <c r="I441" s="881">
        <f>SUM(I427:I440)</f>
        <v>39426885.510000005</v>
      </c>
      <c r="J441" s="1053">
        <f>SUM(J427:J440)</f>
        <v>17573114.490000002</v>
      </c>
      <c r="K441" s="1054">
        <f>I441/H441*100</f>
        <v>69.169974578947375</v>
      </c>
    </row>
    <row r="442" spans="1:11" ht="15.75" thickBot="1">
      <c r="A442" s="187"/>
      <c r="B442" s="187"/>
      <c r="C442" s="286"/>
      <c r="D442" s="190"/>
      <c r="E442" s="187"/>
      <c r="F442" s="1328" t="s">
        <v>4638</v>
      </c>
      <c r="G442" s="1329"/>
      <c r="H442" s="304">
        <f t="shared" ref="H442:J443" si="26">H441</f>
        <v>57000000</v>
      </c>
      <c r="I442" s="882">
        <f t="shared" si="26"/>
        <v>39426885.510000005</v>
      </c>
      <c r="J442" s="882">
        <f t="shared" si="26"/>
        <v>17573114.490000002</v>
      </c>
      <c r="K442" s="822">
        <f>K441</f>
        <v>69.169974578947375</v>
      </c>
    </row>
    <row r="443" spans="1:11" ht="45.75" customHeight="1" thickBot="1">
      <c r="A443" s="329"/>
      <c r="B443" s="330"/>
      <c r="C443" s="336"/>
      <c r="D443" s="337"/>
      <c r="E443" s="330"/>
      <c r="F443" s="1295" t="s">
        <v>4693</v>
      </c>
      <c r="G443" s="1296"/>
      <c r="H443" s="514">
        <f t="shared" si="26"/>
        <v>57000000</v>
      </c>
      <c r="I443" s="883">
        <f t="shared" si="26"/>
        <v>39426885.510000005</v>
      </c>
      <c r="J443" s="883">
        <f t="shared" si="26"/>
        <v>17573114.490000002</v>
      </c>
      <c r="K443" s="883">
        <f>K442</f>
        <v>69.169974578947375</v>
      </c>
    </row>
    <row r="444" spans="1:11" ht="17.25" customHeight="1" thickBot="1">
      <c r="A444" s="307"/>
      <c r="B444" s="331"/>
      <c r="C444" s="510"/>
      <c r="D444" s="511"/>
      <c r="E444" s="331"/>
      <c r="F444" s="331"/>
      <c r="G444" s="308"/>
      <c r="H444" s="309"/>
      <c r="I444" s="884"/>
      <c r="J444" s="1235"/>
      <c r="K444" s="1235"/>
    </row>
    <row r="445" spans="1:11" ht="15.75" thickBot="1">
      <c r="A445" s="276">
        <v>5</v>
      </c>
      <c r="B445" s="276">
        <v>2</v>
      </c>
      <c r="C445" s="670"/>
      <c r="D445" s="278"/>
      <c r="E445" s="278"/>
      <c r="F445" s="278"/>
      <c r="G445" s="293" t="s">
        <v>4266</v>
      </c>
      <c r="H445" s="280"/>
      <c r="I445" s="812"/>
      <c r="J445" s="1239"/>
      <c r="K445" s="1240"/>
    </row>
    <row r="446" spans="1:11" ht="27" customHeight="1">
      <c r="A446" s="281"/>
      <c r="B446" s="282"/>
      <c r="C446" s="283" t="s">
        <v>3598</v>
      </c>
      <c r="D446" s="284"/>
      <c r="E446" s="282"/>
      <c r="F446" s="302"/>
      <c r="G446" s="294" t="s">
        <v>4268</v>
      </c>
      <c r="H446" s="291"/>
      <c r="I446" s="844"/>
      <c r="J446" s="844"/>
      <c r="K446" s="942"/>
    </row>
    <row r="447" spans="1:11">
      <c r="A447" s="270"/>
      <c r="B447" s="187"/>
      <c r="C447" s="286" t="s">
        <v>4374</v>
      </c>
      <c r="D447" s="190"/>
      <c r="E447" s="187"/>
      <c r="F447" s="296"/>
      <c r="G447" s="197" t="s">
        <v>4375</v>
      </c>
      <c r="H447" s="292"/>
      <c r="I447" s="845"/>
      <c r="J447" s="845"/>
      <c r="K447" s="943"/>
    </row>
    <row r="448" spans="1:11" ht="15.75" thickBot="1">
      <c r="A448" s="270"/>
      <c r="B448" s="187"/>
      <c r="C448" s="286"/>
      <c r="D448" s="187">
        <v>810</v>
      </c>
      <c r="E448" s="287"/>
      <c r="F448" s="297"/>
      <c r="G448" s="193" t="s">
        <v>208</v>
      </c>
      <c r="H448" s="292"/>
      <c r="I448" s="845"/>
      <c r="J448" s="845"/>
      <c r="K448" s="943"/>
    </row>
    <row r="449" spans="1:11">
      <c r="A449" s="270"/>
      <c r="B449" s="187"/>
      <c r="C449" s="289" t="s">
        <v>4374</v>
      </c>
      <c r="D449" s="187">
        <v>810</v>
      </c>
      <c r="E449" s="187">
        <v>161</v>
      </c>
      <c r="F449" s="462">
        <v>411</v>
      </c>
      <c r="G449" s="463" t="s">
        <v>4020</v>
      </c>
      <c r="H449" s="416">
        <v>6100000</v>
      </c>
      <c r="I449" s="864">
        <v>4615513</v>
      </c>
      <c r="J449" s="935">
        <f>H449-I449</f>
        <v>1484487</v>
      </c>
      <c r="K449" s="946">
        <f>I449/H449*100</f>
        <v>75.664147540983606</v>
      </c>
    </row>
    <row r="450" spans="1:11">
      <c r="A450" s="270"/>
      <c r="B450" s="187"/>
      <c r="C450" s="289" t="s">
        <v>4374</v>
      </c>
      <c r="D450" s="187">
        <v>810</v>
      </c>
      <c r="E450" s="187">
        <v>162</v>
      </c>
      <c r="F450" s="1055">
        <v>412</v>
      </c>
      <c r="G450" s="1056" t="s">
        <v>3758</v>
      </c>
      <c r="H450" s="411">
        <v>1100000</v>
      </c>
      <c r="I450" s="885">
        <v>826193</v>
      </c>
      <c r="J450" s="644">
        <f>H450-I450</f>
        <v>273807</v>
      </c>
      <c r="K450" s="947">
        <f>I450/H450*100</f>
        <v>75.108454545454549</v>
      </c>
    </row>
    <row r="451" spans="1:11">
      <c r="A451" s="270"/>
      <c r="B451" s="187"/>
      <c r="C451" s="289" t="s">
        <v>4374</v>
      </c>
      <c r="D451" s="187">
        <v>810</v>
      </c>
      <c r="E451" s="187">
        <v>163</v>
      </c>
      <c r="F451" s="1055">
        <v>413</v>
      </c>
      <c r="G451" s="672" t="s">
        <v>4021</v>
      </c>
      <c r="H451" s="411">
        <v>100000</v>
      </c>
      <c r="I451" s="885">
        <v>10560</v>
      </c>
      <c r="J451" s="644">
        <f t="shared" ref="J451:J468" si="27">H451-I451</f>
        <v>89440</v>
      </c>
      <c r="K451" s="947">
        <f t="shared" ref="K451:K466" si="28">I451/H451*100</f>
        <v>10.56</v>
      </c>
    </row>
    <row r="452" spans="1:11">
      <c r="A452" s="270"/>
      <c r="B452" s="187"/>
      <c r="C452" s="289" t="s">
        <v>4374</v>
      </c>
      <c r="D452" s="187">
        <v>810</v>
      </c>
      <c r="E452" s="187">
        <v>164</v>
      </c>
      <c r="F452" s="1055">
        <v>414</v>
      </c>
      <c r="G452" s="1057" t="s">
        <v>3761</v>
      </c>
      <c r="H452" s="411">
        <v>830000</v>
      </c>
      <c r="I452" s="885">
        <v>830000</v>
      </c>
      <c r="J452" s="644">
        <f t="shared" si="27"/>
        <v>0</v>
      </c>
      <c r="K452" s="947">
        <f t="shared" si="28"/>
        <v>100</v>
      </c>
    </row>
    <row r="453" spans="1:11">
      <c r="A453" s="270"/>
      <c r="B453" s="187"/>
      <c r="C453" s="289" t="s">
        <v>4374</v>
      </c>
      <c r="D453" s="187">
        <v>810</v>
      </c>
      <c r="E453" s="187">
        <v>165</v>
      </c>
      <c r="F453" s="1055">
        <v>415</v>
      </c>
      <c r="G453" s="1057" t="s">
        <v>4028</v>
      </c>
      <c r="H453" s="411">
        <v>120000</v>
      </c>
      <c r="I453" s="885">
        <v>44445.33</v>
      </c>
      <c r="J453" s="644">
        <f t="shared" si="27"/>
        <v>75554.67</v>
      </c>
      <c r="K453" s="947">
        <f t="shared" si="28"/>
        <v>37.037775000000003</v>
      </c>
    </row>
    <row r="454" spans="1:11">
      <c r="A454" s="270"/>
      <c r="B454" s="187"/>
      <c r="C454" s="289" t="s">
        <v>4374</v>
      </c>
      <c r="D454" s="187">
        <v>810</v>
      </c>
      <c r="E454" s="187">
        <v>166</v>
      </c>
      <c r="F454" s="1055">
        <v>416</v>
      </c>
      <c r="G454" s="1057" t="s">
        <v>4029</v>
      </c>
      <c r="H454" s="411">
        <v>100000</v>
      </c>
      <c r="I454" s="885">
        <v>0</v>
      </c>
      <c r="J454" s="644">
        <f t="shared" si="27"/>
        <v>100000</v>
      </c>
      <c r="K454" s="947">
        <f t="shared" si="28"/>
        <v>0</v>
      </c>
    </row>
    <row r="455" spans="1:11">
      <c r="A455" s="270"/>
      <c r="B455" s="187"/>
      <c r="C455" s="289" t="s">
        <v>4374</v>
      </c>
      <c r="D455" s="187">
        <v>810</v>
      </c>
      <c r="E455" s="187">
        <v>167</v>
      </c>
      <c r="F455" s="1055">
        <v>421</v>
      </c>
      <c r="G455" s="1057" t="s">
        <v>3771</v>
      </c>
      <c r="H455" s="411">
        <v>5640000</v>
      </c>
      <c r="I455" s="885">
        <v>4472818.57</v>
      </c>
      <c r="J455" s="644">
        <f t="shared" si="27"/>
        <v>1167181.4299999997</v>
      </c>
      <c r="K455" s="947">
        <f t="shared" si="28"/>
        <v>79.305293794326246</v>
      </c>
    </row>
    <row r="456" spans="1:11">
      <c r="A456" s="270"/>
      <c r="B456" s="187"/>
      <c r="C456" s="289" t="s">
        <v>4374</v>
      </c>
      <c r="D456" s="187">
        <v>810</v>
      </c>
      <c r="E456" s="187">
        <v>168</v>
      </c>
      <c r="F456" s="1055">
        <v>422</v>
      </c>
      <c r="G456" s="1057" t="s">
        <v>3772</v>
      </c>
      <c r="H456" s="411">
        <v>50000</v>
      </c>
      <c r="I456" s="885">
        <v>0</v>
      </c>
      <c r="J456" s="644">
        <f>H456-I456</f>
        <v>50000</v>
      </c>
      <c r="K456" s="947">
        <f>I456/H456*100</f>
        <v>0</v>
      </c>
    </row>
    <row r="457" spans="1:11">
      <c r="A457" s="270"/>
      <c r="B457" s="187"/>
      <c r="C457" s="289" t="s">
        <v>4374</v>
      </c>
      <c r="D457" s="187">
        <v>810</v>
      </c>
      <c r="E457" s="187">
        <v>169</v>
      </c>
      <c r="F457" s="1055">
        <v>423</v>
      </c>
      <c r="G457" s="1057" t="s">
        <v>3773</v>
      </c>
      <c r="H457" s="411">
        <v>3100000</v>
      </c>
      <c r="I457" s="885">
        <v>3089672.74</v>
      </c>
      <c r="J457" s="644">
        <f>H457-I457</f>
        <v>10327.259999999776</v>
      </c>
      <c r="K457" s="947">
        <f>I457/H457*100</f>
        <v>99.666862580645159</v>
      </c>
    </row>
    <row r="458" spans="1:11">
      <c r="A458" s="270"/>
      <c r="B458" s="187"/>
      <c r="C458" s="289" t="s">
        <v>4374</v>
      </c>
      <c r="D458" s="187">
        <v>810</v>
      </c>
      <c r="E458" s="187">
        <v>170</v>
      </c>
      <c r="F458" s="1055">
        <v>424</v>
      </c>
      <c r="G458" s="1057" t="s">
        <v>3775</v>
      </c>
      <c r="H458" s="411">
        <v>1650000</v>
      </c>
      <c r="I458" s="885">
        <v>1647826.14</v>
      </c>
      <c r="J458" s="644">
        <f>H458-I458</f>
        <v>2173.8600000001024</v>
      </c>
      <c r="K458" s="947">
        <f>I458/H458*100</f>
        <v>99.868250909090904</v>
      </c>
    </row>
    <row r="459" spans="1:11">
      <c r="A459" s="589"/>
      <c r="B459" s="187"/>
      <c r="C459" s="289" t="s">
        <v>4374</v>
      </c>
      <c r="D459" s="187">
        <v>810</v>
      </c>
      <c r="E459" s="187">
        <v>171</v>
      </c>
      <c r="F459" s="1055">
        <v>425</v>
      </c>
      <c r="G459" s="1057" t="s">
        <v>4030</v>
      </c>
      <c r="H459" s="411">
        <v>1300000</v>
      </c>
      <c r="I459" s="885">
        <v>1299110.74</v>
      </c>
      <c r="J459" s="644">
        <f>H459-I459</f>
        <v>889.26000000000931</v>
      </c>
      <c r="K459" s="947">
        <f>I459/H459*100</f>
        <v>99.931595384615377</v>
      </c>
    </row>
    <row r="460" spans="1:11">
      <c r="A460" s="270"/>
      <c r="B460" s="187"/>
      <c r="C460" s="289" t="s">
        <v>4374</v>
      </c>
      <c r="D460" s="187">
        <v>810</v>
      </c>
      <c r="E460" s="187">
        <v>172</v>
      </c>
      <c r="F460" s="1055">
        <v>426</v>
      </c>
      <c r="G460" s="1057" t="s">
        <v>3779</v>
      </c>
      <c r="H460" s="411">
        <v>1000000</v>
      </c>
      <c r="I460" s="885">
        <v>953111.56</v>
      </c>
      <c r="J460" s="644">
        <f>H460-I460</f>
        <v>46888.439999999944</v>
      </c>
      <c r="K460" s="947">
        <f>I460/H460*100</f>
        <v>95.311156000000011</v>
      </c>
    </row>
    <row r="461" spans="1:11">
      <c r="A461" s="724"/>
      <c r="B461" s="187"/>
      <c r="C461" s="289" t="s">
        <v>4374</v>
      </c>
      <c r="D461" s="187">
        <v>810</v>
      </c>
      <c r="E461" s="187">
        <v>173</v>
      </c>
      <c r="F461" s="1055">
        <v>465</v>
      </c>
      <c r="G461" s="1056" t="s">
        <v>4022</v>
      </c>
      <c r="H461" s="411">
        <v>700000</v>
      </c>
      <c r="I461" s="885">
        <v>700000</v>
      </c>
      <c r="J461" s="644">
        <f t="shared" si="27"/>
        <v>0</v>
      </c>
      <c r="K461" s="947">
        <f t="shared" si="28"/>
        <v>100</v>
      </c>
    </row>
    <row r="462" spans="1:11">
      <c r="A462" s="564"/>
      <c r="B462" s="187"/>
      <c r="C462" s="289" t="s">
        <v>4374</v>
      </c>
      <c r="D462" s="187">
        <v>810</v>
      </c>
      <c r="E462" s="187">
        <v>174</v>
      </c>
      <c r="F462" s="1055">
        <v>482</v>
      </c>
      <c r="G462" s="1057" t="s">
        <v>4032</v>
      </c>
      <c r="H462" s="411">
        <v>200000</v>
      </c>
      <c r="I462" s="885">
        <v>0</v>
      </c>
      <c r="J462" s="644">
        <f t="shared" si="27"/>
        <v>200000</v>
      </c>
      <c r="K462" s="947">
        <f t="shared" si="28"/>
        <v>0</v>
      </c>
    </row>
    <row r="463" spans="1:11">
      <c r="A463" s="564"/>
      <c r="B463" s="187"/>
      <c r="C463" s="289" t="s">
        <v>4374</v>
      </c>
      <c r="D463" s="187">
        <v>810</v>
      </c>
      <c r="E463" s="187">
        <v>175</v>
      </c>
      <c r="F463" s="1055">
        <v>483</v>
      </c>
      <c r="G463" s="1057" t="s">
        <v>4033</v>
      </c>
      <c r="H463" s="411">
        <v>50000</v>
      </c>
      <c r="I463" s="885">
        <v>0</v>
      </c>
      <c r="J463" s="644">
        <f t="shared" si="27"/>
        <v>50000</v>
      </c>
      <c r="K463" s="947">
        <f t="shared" si="28"/>
        <v>0</v>
      </c>
    </row>
    <row r="464" spans="1:11">
      <c r="A464" s="758"/>
      <c r="B464" s="187"/>
      <c r="C464" s="289" t="s">
        <v>4374</v>
      </c>
      <c r="D464" s="187">
        <v>810</v>
      </c>
      <c r="E464" s="187" t="s">
        <v>4640</v>
      </c>
      <c r="F464" s="1058">
        <v>485</v>
      </c>
      <c r="G464" s="1059" t="s">
        <v>4319</v>
      </c>
      <c r="H464" s="411">
        <v>240359</v>
      </c>
      <c r="I464" s="1060">
        <v>240130.33</v>
      </c>
      <c r="J464" s="644">
        <f t="shared" si="27"/>
        <v>228.67000000001281</v>
      </c>
      <c r="K464" s="947">
        <f t="shared" si="28"/>
        <v>99.904863142216428</v>
      </c>
    </row>
    <row r="465" spans="1:11">
      <c r="A465" s="589"/>
      <c r="B465" s="187"/>
      <c r="C465" s="289" t="s">
        <v>4374</v>
      </c>
      <c r="D465" s="187">
        <v>810</v>
      </c>
      <c r="E465" s="187">
        <v>176</v>
      </c>
      <c r="F465" s="1055">
        <v>511</v>
      </c>
      <c r="G465" s="672" t="s">
        <v>4269</v>
      </c>
      <c r="H465" s="411">
        <v>7752000</v>
      </c>
      <c r="I465" s="885">
        <v>7751867.3200000003</v>
      </c>
      <c r="J465" s="644">
        <f t="shared" si="27"/>
        <v>132.67999999970198</v>
      </c>
      <c r="K465" s="947">
        <f t="shared" si="28"/>
        <v>99.998288441692466</v>
      </c>
    </row>
    <row r="466" spans="1:11">
      <c r="A466" s="589"/>
      <c r="B466" s="187"/>
      <c r="C466" s="289" t="s">
        <v>4374</v>
      </c>
      <c r="D466" s="187">
        <v>810</v>
      </c>
      <c r="E466" s="187">
        <v>177</v>
      </c>
      <c r="F466" s="1055">
        <v>512</v>
      </c>
      <c r="G466" s="1057" t="s">
        <v>4036</v>
      </c>
      <c r="H466" s="411">
        <v>750000</v>
      </c>
      <c r="I466" s="885">
        <v>749649</v>
      </c>
      <c r="J466" s="644">
        <f t="shared" si="27"/>
        <v>351</v>
      </c>
      <c r="K466" s="947">
        <f t="shared" si="28"/>
        <v>99.953199999999995</v>
      </c>
    </row>
    <row r="467" spans="1:11">
      <c r="A467" s="270"/>
      <c r="B467" s="187"/>
      <c r="C467" s="289" t="s">
        <v>4374</v>
      </c>
      <c r="D467" s="187">
        <v>810</v>
      </c>
      <c r="E467" s="187"/>
      <c r="F467" s="516">
        <v>522</v>
      </c>
      <c r="G467" s="673" t="s">
        <v>4456</v>
      </c>
      <c r="H467" s="517">
        <v>0</v>
      </c>
      <c r="I467" s="827">
        <v>0</v>
      </c>
      <c r="J467" s="644">
        <f t="shared" si="27"/>
        <v>0</v>
      </c>
      <c r="K467" s="947">
        <v>0</v>
      </c>
    </row>
    <row r="468" spans="1:11" ht="15.75" thickBot="1">
      <c r="A468" s="270"/>
      <c r="B468" s="187"/>
      <c r="C468" s="289" t="s">
        <v>4374</v>
      </c>
      <c r="D468" s="187">
        <v>810</v>
      </c>
      <c r="E468" s="187"/>
      <c r="F468" s="671">
        <v>523</v>
      </c>
      <c r="G468" s="674" t="s">
        <v>3831</v>
      </c>
      <c r="H468" s="675">
        <v>0</v>
      </c>
      <c r="I468" s="886">
        <v>0</v>
      </c>
      <c r="J468" s="919">
        <f t="shared" si="27"/>
        <v>0</v>
      </c>
      <c r="K468" s="990">
        <v>0</v>
      </c>
    </row>
    <row r="469" spans="1:11" ht="15.75" thickBot="1">
      <c r="A469" s="270"/>
      <c r="B469" s="187"/>
      <c r="C469" s="286"/>
      <c r="D469" s="190"/>
      <c r="E469" s="187"/>
      <c r="F469" s="1267" t="s">
        <v>4405</v>
      </c>
      <c r="G469" s="1308"/>
      <c r="H469" s="405">
        <f>SUM(H449:H468)</f>
        <v>30782359</v>
      </c>
      <c r="I469" s="843">
        <f>SUM(I449:I468)</f>
        <v>27230897.729999997</v>
      </c>
      <c r="J469" s="870">
        <f>SUM(J449:J468)</f>
        <v>3551461.2699999991</v>
      </c>
      <c r="K469" s="870">
        <f>I469/H469*100</f>
        <v>88.462673474765197</v>
      </c>
    </row>
    <row r="470" spans="1:11" ht="21.75" customHeight="1" thickBot="1">
      <c r="A470" s="270"/>
      <c r="B470" s="187"/>
      <c r="C470" s="286"/>
      <c r="D470" s="190"/>
      <c r="E470" s="187"/>
      <c r="F470" s="1328" t="s">
        <v>4637</v>
      </c>
      <c r="G470" s="1329"/>
      <c r="H470" s="304">
        <f t="shared" ref="H470:J471" si="29">H469</f>
        <v>30782359</v>
      </c>
      <c r="I470" s="882">
        <f t="shared" si="29"/>
        <v>27230897.729999997</v>
      </c>
      <c r="J470" s="882">
        <f t="shared" si="29"/>
        <v>3551461.2699999991</v>
      </c>
      <c r="K470" s="822">
        <f>K469</f>
        <v>88.462673474765197</v>
      </c>
    </row>
    <row r="471" spans="1:11" ht="66" customHeight="1" thickBot="1">
      <c r="A471" s="271"/>
      <c r="B471" s="274"/>
      <c r="C471" s="300"/>
      <c r="D471" s="301"/>
      <c r="E471" s="274"/>
      <c r="F471" s="1295" t="s">
        <v>4722</v>
      </c>
      <c r="G471" s="1296"/>
      <c r="H471" s="514">
        <f t="shared" si="29"/>
        <v>30782359</v>
      </c>
      <c r="I471" s="883">
        <f t="shared" si="29"/>
        <v>27230897.729999997</v>
      </c>
      <c r="J471" s="883">
        <f t="shared" si="29"/>
        <v>3551461.2699999991</v>
      </c>
      <c r="K471" s="883">
        <f>K470</f>
        <v>88.462673474765197</v>
      </c>
    </row>
    <row r="472" spans="1:11" ht="15.75" thickBot="1">
      <c r="C472" s="188"/>
      <c r="D472" s="185"/>
      <c r="G472" s="197"/>
    </row>
    <row r="473" spans="1:11" ht="29.25" thickBot="1">
      <c r="A473" s="276">
        <v>5</v>
      </c>
      <c r="B473" s="276">
        <v>3</v>
      </c>
      <c r="C473" s="670"/>
      <c r="D473" s="278"/>
      <c r="E473" s="278"/>
      <c r="F473" s="278"/>
      <c r="G473" s="293" t="s">
        <v>4270</v>
      </c>
      <c r="H473" s="280"/>
      <c r="I473" s="812"/>
      <c r="J473" s="1239"/>
      <c r="K473" s="1240"/>
    </row>
    <row r="474" spans="1:11" ht="35.25" customHeight="1">
      <c r="A474" s="281"/>
      <c r="B474" s="282"/>
      <c r="C474" s="283" t="s">
        <v>3595</v>
      </c>
      <c r="D474" s="284"/>
      <c r="E474" s="282"/>
      <c r="F474" s="539"/>
      <c r="G474" s="294" t="s">
        <v>4367</v>
      </c>
      <c r="H474" s="305"/>
      <c r="I474" s="841"/>
      <c r="J474" s="844"/>
      <c r="K474" s="942"/>
    </row>
    <row r="475" spans="1:11">
      <c r="A475" s="805"/>
      <c r="B475" s="187"/>
      <c r="C475" s="286" t="s">
        <v>3989</v>
      </c>
      <c r="D475" s="190"/>
      <c r="E475" s="187"/>
      <c r="F475" s="296"/>
      <c r="G475" s="197" t="s">
        <v>4042</v>
      </c>
      <c r="H475" s="306"/>
      <c r="I475" s="340"/>
      <c r="J475" s="845"/>
      <c r="K475" s="943"/>
    </row>
    <row r="476" spans="1:11" ht="15.75" thickBot="1">
      <c r="A476" s="805"/>
      <c r="B476" s="187"/>
      <c r="C476" s="286"/>
      <c r="D476" s="187">
        <v>820</v>
      </c>
      <c r="E476" s="187"/>
      <c r="F476" s="296"/>
      <c r="G476" s="193" t="s">
        <v>209</v>
      </c>
      <c r="H476" s="306"/>
      <c r="I476" s="340"/>
      <c r="J476" s="845"/>
      <c r="K476" s="943"/>
    </row>
    <row r="477" spans="1:11">
      <c r="A477" s="805"/>
      <c r="B477" s="187"/>
      <c r="C477" s="289" t="s">
        <v>3989</v>
      </c>
      <c r="D477" s="187">
        <v>820</v>
      </c>
      <c r="E477" s="187">
        <v>181</v>
      </c>
      <c r="F477" s="462">
        <v>411</v>
      </c>
      <c r="G477" s="576" t="s">
        <v>4020</v>
      </c>
      <c r="H477" s="1020">
        <v>9000000</v>
      </c>
      <c r="I477" s="935">
        <v>6669956.4900000002</v>
      </c>
      <c r="J477" s="864">
        <f>H477-I477</f>
        <v>2330043.5099999998</v>
      </c>
      <c r="K477" s="973">
        <f>I477/H477*100</f>
        <v>74.110627666666673</v>
      </c>
    </row>
    <row r="478" spans="1:11">
      <c r="A478" s="805"/>
      <c r="B478" s="187"/>
      <c r="C478" s="289" t="s">
        <v>3989</v>
      </c>
      <c r="D478" s="187">
        <v>820</v>
      </c>
      <c r="E478" s="187">
        <v>182</v>
      </c>
      <c r="F478" s="1015">
        <v>412</v>
      </c>
      <c r="G478" s="1061" t="s">
        <v>3758</v>
      </c>
      <c r="H478" s="983">
        <v>1650000</v>
      </c>
      <c r="I478" s="644">
        <v>1193922.1399999999</v>
      </c>
      <c r="J478" s="954">
        <f>H478-I478</f>
        <v>456077.8600000001</v>
      </c>
      <c r="K478" s="974">
        <f>I478/H478*100</f>
        <v>72.358917575757559</v>
      </c>
    </row>
    <row r="479" spans="1:11">
      <c r="A479" s="805"/>
      <c r="B479" s="187"/>
      <c r="C479" s="289" t="s">
        <v>3989</v>
      </c>
      <c r="D479" s="187">
        <v>820</v>
      </c>
      <c r="E479" s="187">
        <v>183</v>
      </c>
      <c r="F479" s="1015">
        <v>414</v>
      </c>
      <c r="G479" s="1062" t="s">
        <v>3761</v>
      </c>
      <c r="H479" s="983">
        <v>300000</v>
      </c>
      <c r="I479" s="644">
        <v>213832.27</v>
      </c>
      <c r="J479" s="954">
        <f t="shared" ref="J479:J493" si="30">H479-I479</f>
        <v>86167.73000000001</v>
      </c>
      <c r="K479" s="974">
        <f t="shared" ref="K479:K495" si="31">I479/H479*100</f>
        <v>71.277423333333331</v>
      </c>
    </row>
    <row r="480" spans="1:11">
      <c r="A480" s="805"/>
      <c r="B480" s="187"/>
      <c r="C480" s="289" t="s">
        <v>3989</v>
      </c>
      <c r="D480" s="187">
        <v>820</v>
      </c>
      <c r="E480" s="187">
        <v>184</v>
      </c>
      <c r="F480" s="1015">
        <v>415</v>
      </c>
      <c r="G480" s="1062" t="s">
        <v>4028</v>
      </c>
      <c r="H480" s="983">
        <v>300000</v>
      </c>
      <c r="I480" s="644">
        <v>180467</v>
      </c>
      <c r="J480" s="954">
        <f t="shared" si="30"/>
        <v>119533</v>
      </c>
      <c r="K480" s="974">
        <f t="shared" si="31"/>
        <v>60.155666666666662</v>
      </c>
    </row>
    <row r="481" spans="1:11">
      <c r="A481" s="805"/>
      <c r="B481" s="187"/>
      <c r="C481" s="289" t="s">
        <v>3989</v>
      </c>
      <c r="D481" s="187">
        <v>820</v>
      </c>
      <c r="E481" s="187">
        <v>185</v>
      </c>
      <c r="F481" s="1015">
        <v>416</v>
      </c>
      <c r="G481" s="1062" t="s">
        <v>4029</v>
      </c>
      <c r="H481" s="983">
        <v>100000</v>
      </c>
      <c r="I481" s="644">
        <v>0</v>
      </c>
      <c r="J481" s="954">
        <f t="shared" si="30"/>
        <v>100000</v>
      </c>
      <c r="K481" s="974">
        <f t="shared" si="31"/>
        <v>0</v>
      </c>
    </row>
    <row r="482" spans="1:11">
      <c r="A482" s="805"/>
      <c r="B482" s="187"/>
      <c r="C482" s="289" t="s">
        <v>3989</v>
      </c>
      <c r="D482" s="187">
        <v>820</v>
      </c>
      <c r="E482" s="187">
        <v>186</v>
      </c>
      <c r="F482" s="1015">
        <v>421</v>
      </c>
      <c r="G482" s="1062" t="s">
        <v>3771</v>
      </c>
      <c r="H482" s="983">
        <v>3700000</v>
      </c>
      <c r="I482" s="644">
        <v>2220382.5499999998</v>
      </c>
      <c r="J482" s="954">
        <f t="shared" si="30"/>
        <v>1479617.4500000002</v>
      </c>
      <c r="K482" s="974">
        <f t="shared" si="31"/>
        <v>60.010339189189189</v>
      </c>
    </row>
    <row r="483" spans="1:11">
      <c r="A483" s="805"/>
      <c r="B483" s="187"/>
      <c r="C483" s="289" t="s">
        <v>3989</v>
      </c>
      <c r="D483" s="187">
        <v>820</v>
      </c>
      <c r="E483" s="187">
        <v>187</v>
      </c>
      <c r="F483" s="1015">
        <v>422</v>
      </c>
      <c r="G483" s="1062" t="s">
        <v>3772</v>
      </c>
      <c r="H483" s="983">
        <v>100000</v>
      </c>
      <c r="I483" s="644">
        <v>66281.48</v>
      </c>
      <c r="J483" s="954">
        <f t="shared" si="30"/>
        <v>33718.520000000004</v>
      </c>
      <c r="K483" s="974">
        <f t="shared" si="31"/>
        <v>66.281479999999988</v>
      </c>
    </row>
    <row r="484" spans="1:11">
      <c r="A484" s="805"/>
      <c r="B484" s="187"/>
      <c r="C484" s="289" t="s">
        <v>3989</v>
      </c>
      <c r="D484" s="187">
        <v>820</v>
      </c>
      <c r="E484" s="187">
        <v>188</v>
      </c>
      <c r="F484" s="1015">
        <v>423</v>
      </c>
      <c r="G484" s="1062" t="s">
        <v>3773</v>
      </c>
      <c r="H484" s="983">
        <v>1600000</v>
      </c>
      <c r="I484" s="644">
        <v>1366445.97</v>
      </c>
      <c r="J484" s="954">
        <f t="shared" si="30"/>
        <v>233554.03000000003</v>
      </c>
      <c r="K484" s="974">
        <f t="shared" si="31"/>
        <v>85.402873124999999</v>
      </c>
    </row>
    <row r="485" spans="1:11">
      <c r="A485" s="805"/>
      <c r="B485" s="187"/>
      <c r="C485" s="289" t="s">
        <v>3989</v>
      </c>
      <c r="D485" s="187">
        <v>820</v>
      </c>
      <c r="E485" s="187">
        <v>189</v>
      </c>
      <c r="F485" s="1015">
        <v>424</v>
      </c>
      <c r="G485" s="1062" t="s">
        <v>3775</v>
      </c>
      <c r="H485" s="983">
        <v>300000</v>
      </c>
      <c r="I485" s="644">
        <v>219600</v>
      </c>
      <c r="J485" s="954">
        <f t="shared" si="30"/>
        <v>80400</v>
      </c>
      <c r="K485" s="974">
        <f t="shared" si="31"/>
        <v>73.2</v>
      </c>
    </row>
    <row r="486" spans="1:11">
      <c r="A486" s="805"/>
      <c r="B486" s="187"/>
      <c r="C486" s="289" t="s">
        <v>3989</v>
      </c>
      <c r="D486" s="187">
        <v>820</v>
      </c>
      <c r="E486" s="187">
        <v>190</v>
      </c>
      <c r="F486" s="1015">
        <v>425</v>
      </c>
      <c r="G486" s="1062" t="s">
        <v>4030</v>
      </c>
      <c r="H486" s="983">
        <v>1940000</v>
      </c>
      <c r="I486" s="644">
        <v>1575171</v>
      </c>
      <c r="J486" s="954">
        <f t="shared" si="30"/>
        <v>364829</v>
      </c>
      <c r="K486" s="974">
        <f t="shared" si="31"/>
        <v>81.194381443298965</v>
      </c>
    </row>
    <row r="487" spans="1:11">
      <c r="A487" s="805"/>
      <c r="B487" s="187"/>
      <c r="C487" s="289" t="s">
        <v>3989</v>
      </c>
      <c r="D487" s="187">
        <v>820</v>
      </c>
      <c r="E487" s="187">
        <v>191</v>
      </c>
      <c r="F487" s="1015">
        <v>426</v>
      </c>
      <c r="G487" s="1062" t="s">
        <v>3779</v>
      </c>
      <c r="H487" s="983">
        <v>710000</v>
      </c>
      <c r="I487" s="644">
        <v>421484.21</v>
      </c>
      <c r="J487" s="954">
        <f t="shared" si="30"/>
        <v>288515.78999999998</v>
      </c>
      <c r="K487" s="974">
        <f t="shared" si="31"/>
        <v>59.363973239436618</v>
      </c>
    </row>
    <row r="488" spans="1:11">
      <c r="A488" s="805"/>
      <c r="B488" s="187"/>
      <c r="C488" s="289" t="s">
        <v>3989</v>
      </c>
      <c r="D488" s="187">
        <v>820</v>
      </c>
      <c r="E488" s="187">
        <v>192</v>
      </c>
      <c r="F488" s="1015">
        <v>465</v>
      </c>
      <c r="G488" s="1061" t="s">
        <v>4022</v>
      </c>
      <c r="H488" s="983">
        <v>1000000</v>
      </c>
      <c r="I488" s="644">
        <v>723500.4</v>
      </c>
      <c r="J488" s="954">
        <f t="shared" si="30"/>
        <v>276499.59999999998</v>
      </c>
      <c r="K488" s="974">
        <f t="shared" si="31"/>
        <v>72.350040000000007</v>
      </c>
    </row>
    <row r="489" spans="1:11">
      <c r="A489" s="805"/>
      <c r="B489" s="187"/>
      <c r="C489" s="289" t="s">
        <v>3989</v>
      </c>
      <c r="D489" s="187">
        <v>820</v>
      </c>
      <c r="E489" s="187">
        <v>193</v>
      </c>
      <c r="F489" s="1015">
        <v>482</v>
      </c>
      <c r="G489" s="1062" t="s">
        <v>4032</v>
      </c>
      <c r="H489" s="983">
        <v>50000</v>
      </c>
      <c r="I489" s="644">
        <v>0</v>
      </c>
      <c r="J489" s="954">
        <f t="shared" si="30"/>
        <v>50000</v>
      </c>
      <c r="K489" s="974">
        <f t="shared" si="31"/>
        <v>0</v>
      </c>
    </row>
    <row r="490" spans="1:11">
      <c r="A490" s="805"/>
      <c r="B490" s="187"/>
      <c r="C490" s="289" t="s">
        <v>3989</v>
      </c>
      <c r="D490" s="187">
        <v>820</v>
      </c>
      <c r="E490" s="187">
        <v>194</v>
      </c>
      <c r="F490" s="1015">
        <v>483</v>
      </c>
      <c r="G490" s="1062" t="s">
        <v>4033</v>
      </c>
      <c r="H490" s="983">
        <v>500000</v>
      </c>
      <c r="I490" s="644">
        <v>0</v>
      </c>
      <c r="J490" s="954">
        <f t="shared" si="30"/>
        <v>500000</v>
      </c>
      <c r="K490" s="974">
        <f t="shared" si="31"/>
        <v>0</v>
      </c>
    </row>
    <row r="491" spans="1:11">
      <c r="A491" s="805"/>
      <c r="B491" s="187"/>
      <c r="C491" s="289" t="s">
        <v>3989</v>
      </c>
      <c r="D491" s="187">
        <v>820</v>
      </c>
      <c r="E491" s="187">
        <v>195</v>
      </c>
      <c r="F491" s="580">
        <v>511</v>
      </c>
      <c r="G491" s="1063" t="s">
        <v>4269</v>
      </c>
      <c r="H491" s="643">
        <v>3100000</v>
      </c>
      <c r="I491" s="919">
        <v>418000</v>
      </c>
      <c r="J491" s="954">
        <f t="shared" si="30"/>
        <v>2682000</v>
      </c>
      <c r="K491" s="974">
        <f t="shared" si="31"/>
        <v>13.483870967741934</v>
      </c>
    </row>
    <row r="492" spans="1:11">
      <c r="A492" s="805"/>
      <c r="B492" s="187"/>
      <c r="C492" s="289" t="s">
        <v>3989</v>
      </c>
      <c r="D492" s="187">
        <v>820</v>
      </c>
      <c r="E492" s="187">
        <v>196</v>
      </c>
      <c r="F492" s="977">
        <v>512</v>
      </c>
      <c r="G492" s="1064" t="s">
        <v>4036</v>
      </c>
      <c r="H492" s="983">
        <v>150000</v>
      </c>
      <c r="I492" s="644">
        <v>124221.6</v>
      </c>
      <c r="J492" s="954">
        <f t="shared" si="30"/>
        <v>25778.399999999994</v>
      </c>
      <c r="K492" s="974">
        <f t="shared" si="31"/>
        <v>82.814400000000006</v>
      </c>
    </row>
    <row r="493" spans="1:11" ht="15.75" thickBot="1">
      <c r="A493" s="805"/>
      <c r="B493" s="187"/>
      <c r="C493" s="289" t="s">
        <v>3989</v>
      </c>
      <c r="D493" s="187">
        <v>820</v>
      </c>
      <c r="E493" s="187">
        <v>197</v>
      </c>
      <c r="F493" s="271">
        <v>515</v>
      </c>
      <c r="G493" s="1065" t="s">
        <v>4292</v>
      </c>
      <c r="H493" s="298">
        <v>100000</v>
      </c>
      <c r="I493" s="826">
        <v>48240</v>
      </c>
      <c r="J493" s="823">
        <f t="shared" si="30"/>
        <v>51760</v>
      </c>
      <c r="K493" s="1066">
        <f t="shared" si="31"/>
        <v>48.24</v>
      </c>
    </row>
    <row r="494" spans="1:11" ht="18" customHeight="1" thickBot="1">
      <c r="A494" s="805"/>
      <c r="B494" s="187"/>
      <c r="C494" s="286"/>
      <c r="D494" s="190"/>
      <c r="E494" s="187"/>
      <c r="F494" s="1267" t="s">
        <v>4271</v>
      </c>
      <c r="G494" s="1308"/>
      <c r="H494" s="343">
        <f>SUM(H477:H493)</f>
        <v>24600000</v>
      </c>
      <c r="I494" s="888">
        <f>SUM(I477:I493)</f>
        <v>15441505.110000001</v>
      </c>
      <c r="J494" s="1053">
        <f>SUM(J477:J493)</f>
        <v>9158494.8900000006</v>
      </c>
      <c r="K494" s="994">
        <f t="shared" si="31"/>
        <v>62.770345975609764</v>
      </c>
    </row>
    <row r="495" spans="1:11" ht="25.5" customHeight="1" thickBot="1">
      <c r="A495" s="805"/>
      <c r="B495" s="187"/>
      <c r="C495" s="286"/>
      <c r="D495" s="190"/>
      <c r="E495" s="187"/>
      <c r="F495" s="1328" t="s">
        <v>4635</v>
      </c>
      <c r="G495" s="1329"/>
      <c r="H495" s="304">
        <f>H494</f>
        <v>24600000</v>
      </c>
      <c r="I495" s="882">
        <f>I494</f>
        <v>15441505.110000001</v>
      </c>
      <c r="J495" s="882">
        <f>J494</f>
        <v>9158494.8900000006</v>
      </c>
      <c r="K495" s="1074">
        <f t="shared" si="31"/>
        <v>62.770345975609764</v>
      </c>
    </row>
    <row r="496" spans="1:11" ht="15.75" thickBot="1">
      <c r="A496" s="805"/>
      <c r="B496" s="187"/>
      <c r="C496" s="286"/>
      <c r="D496" s="190"/>
      <c r="E496" s="1232"/>
      <c r="F496" s="1232"/>
      <c r="G496" s="1232"/>
      <c r="H496" s="1232"/>
      <c r="I496" s="1232"/>
      <c r="J496" s="1232"/>
      <c r="K496" s="1233"/>
    </row>
    <row r="497" spans="1:25">
      <c r="A497" s="805"/>
      <c r="B497" s="187"/>
      <c r="C497" s="286" t="s">
        <v>3568</v>
      </c>
      <c r="D497" s="190"/>
      <c r="E497" s="187"/>
      <c r="F497" s="539"/>
      <c r="G497" s="434" t="s">
        <v>4376</v>
      </c>
      <c r="H497" s="295"/>
      <c r="I497" s="841"/>
      <c r="J497" s="844"/>
      <c r="K497" s="942"/>
    </row>
    <row r="498" spans="1:25">
      <c r="A498" s="805"/>
      <c r="B498" s="187"/>
      <c r="C498" s="286" t="s">
        <v>4040</v>
      </c>
      <c r="D498" s="190"/>
      <c r="E498" s="187"/>
      <c r="F498" s="296"/>
      <c r="G498" s="435" t="s">
        <v>4406</v>
      </c>
      <c r="H498" s="250"/>
      <c r="I498" s="340"/>
      <c r="J498" s="845"/>
      <c r="K498" s="943"/>
    </row>
    <row r="499" spans="1:25" ht="15.75" thickBot="1">
      <c r="A499" s="805"/>
      <c r="B499" s="187"/>
      <c r="C499" s="289"/>
      <c r="D499" s="187">
        <v>473</v>
      </c>
      <c r="E499" s="187"/>
      <c r="F499" s="296"/>
      <c r="G499" s="453" t="s">
        <v>164</v>
      </c>
      <c r="H499" s="250"/>
      <c r="I499" s="340"/>
      <c r="J499" s="845"/>
      <c r="K499" s="943"/>
    </row>
    <row r="500" spans="1:25">
      <c r="A500" s="805"/>
      <c r="B500" s="187"/>
      <c r="C500" s="289" t="s">
        <v>4040</v>
      </c>
      <c r="D500" s="187">
        <v>473</v>
      </c>
      <c r="E500" s="187">
        <v>178</v>
      </c>
      <c r="F500" s="1067">
        <v>423</v>
      </c>
      <c r="G500" s="463" t="s">
        <v>3773</v>
      </c>
      <c r="H500" s="1068">
        <v>4500000</v>
      </c>
      <c r="I500" s="946">
        <v>3803529</v>
      </c>
      <c r="J500" s="1069">
        <f>H500-I500</f>
        <v>696471</v>
      </c>
      <c r="K500" s="946">
        <f>I500/H500*100</f>
        <v>84.522866666666658</v>
      </c>
    </row>
    <row r="501" spans="1:25">
      <c r="A501" s="805"/>
      <c r="B501" s="187"/>
      <c r="C501" s="289" t="s">
        <v>4040</v>
      </c>
      <c r="D501" s="187">
        <v>473</v>
      </c>
      <c r="E501" s="187">
        <v>179</v>
      </c>
      <c r="F501" s="1012">
        <v>424</v>
      </c>
      <c r="G501" s="953" t="s">
        <v>3775</v>
      </c>
      <c r="H501" s="402">
        <v>5350000</v>
      </c>
      <c r="I501" s="1011">
        <v>5303443.4400000004</v>
      </c>
      <c r="J501" s="594">
        <f>H501-I501</f>
        <v>46556.55999999959</v>
      </c>
      <c r="K501" s="947">
        <f>I501/H501*100</f>
        <v>99.129783925233653</v>
      </c>
    </row>
    <row r="502" spans="1:25" ht="15.75" thickBot="1">
      <c r="A502" s="805"/>
      <c r="B502" s="187"/>
      <c r="C502" s="289" t="s">
        <v>4040</v>
      </c>
      <c r="D502" s="187">
        <v>473</v>
      </c>
      <c r="E502" s="187">
        <v>180</v>
      </c>
      <c r="F502" s="1072">
        <v>426</v>
      </c>
      <c r="G502" s="958" t="s">
        <v>3779</v>
      </c>
      <c r="H502" s="1073">
        <v>500000</v>
      </c>
      <c r="I502" s="1021">
        <v>469845.58</v>
      </c>
      <c r="J502" s="915">
        <f>H502-I502</f>
        <v>30154.419999999984</v>
      </c>
      <c r="K502" s="948">
        <f>I502/H502*100</f>
        <v>93.969116000000014</v>
      </c>
    </row>
    <row r="503" spans="1:25" ht="15.75" thickBot="1">
      <c r="A503" s="805"/>
      <c r="B503" s="187"/>
      <c r="C503" s="286"/>
      <c r="D503" s="190"/>
      <c r="E503" s="187"/>
      <c r="F503" s="1267" t="s">
        <v>4377</v>
      </c>
      <c r="G503" s="1308"/>
      <c r="H503" s="405">
        <f>SUM(H500:H502)</f>
        <v>10350000</v>
      </c>
      <c r="I503" s="591">
        <f>SUM(I500:I502)</f>
        <v>9576818.0200000014</v>
      </c>
      <c r="J503" s="591">
        <f>SUM(J500:J502)</f>
        <v>773181.97999999952</v>
      </c>
      <c r="K503" s="591">
        <f>I503/H503*100</f>
        <v>92.529642705314018</v>
      </c>
    </row>
    <row r="504" spans="1:25" ht="24" customHeight="1" thickBot="1">
      <c r="A504" s="805"/>
      <c r="B504" s="187"/>
      <c r="C504" s="286"/>
      <c r="D504" s="190"/>
      <c r="E504" s="187"/>
      <c r="F504" s="1328" t="s">
        <v>4636</v>
      </c>
      <c r="G504" s="1329"/>
      <c r="H504" s="304">
        <f>H494+H503</f>
        <v>34950000</v>
      </c>
      <c r="I504" s="882">
        <f>I494+I503</f>
        <v>25018323.130000003</v>
      </c>
      <c r="J504" s="882">
        <f>J494+J503</f>
        <v>9931676.870000001</v>
      </c>
      <c r="K504" s="1070">
        <f t="shared" ref="K504:K505" si="32">I504/H504*100</f>
        <v>71.583184921316175</v>
      </c>
    </row>
    <row r="505" spans="1:25" ht="38.25" customHeight="1" thickBot="1">
      <c r="A505" s="271"/>
      <c r="B505" s="274"/>
      <c r="C505" s="300"/>
      <c r="D505" s="301"/>
      <c r="E505" s="274"/>
      <c r="F505" s="1295" t="s">
        <v>4631</v>
      </c>
      <c r="G505" s="1296"/>
      <c r="H505" s="515">
        <f>H504</f>
        <v>34950000</v>
      </c>
      <c r="I505" s="883">
        <f>I504</f>
        <v>25018323.130000003</v>
      </c>
      <c r="J505" s="907">
        <f>J504</f>
        <v>9931676.870000001</v>
      </c>
      <c r="K505" s="1071">
        <f t="shared" si="32"/>
        <v>71.583184921316175</v>
      </c>
    </row>
    <row r="506" spans="1:25" s="444" customFormat="1" ht="15" customHeight="1" thickBot="1">
      <c r="A506" s="440"/>
      <c r="B506" s="327"/>
      <c r="C506" s="345"/>
      <c r="D506" s="346"/>
      <c r="E506" s="327"/>
      <c r="F506" s="754"/>
      <c r="G506" s="754"/>
      <c r="H506" s="348"/>
      <c r="I506" s="634"/>
      <c r="J506" s="1234"/>
      <c r="K506" s="1234"/>
      <c r="L506" s="443"/>
      <c r="M506" s="536"/>
      <c r="N506" s="536"/>
      <c r="O506" s="443"/>
      <c r="P506" s="443"/>
      <c r="Q506" s="443"/>
      <c r="R506" s="443"/>
      <c r="S506" s="443"/>
      <c r="T506" s="443"/>
      <c r="U506" s="443"/>
      <c r="V506" s="443"/>
      <c r="W506" s="443"/>
      <c r="X506" s="443"/>
      <c r="Y506" s="443"/>
    </row>
    <row r="507" spans="1:25" ht="15.75" thickBot="1">
      <c r="A507" s="276">
        <v>5</v>
      </c>
      <c r="B507" s="276">
        <v>4</v>
      </c>
      <c r="C507" s="670"/>
      <c r="D507" s="278"/>
      <c r="E507" s="278"/>
      <c r="F507" s="278"/>
      <c r="G507" s="293" t="s">
        <v>4591</v>
      </c>
      <c r="H507" s="280"/>
      <c r="I507" s="812"/>
      <c r="J507" s="1239"/>
      <c r="K507" s="1240"/>
    </row>
    <row r="508" spans="1:25" ht="28.5">
      <c r="A508" s="616"/>
      <c r="B508" s="187"/>
      <c r="C508" s="286" t="s">
        <v>3601</v>
      </c>
      <c r="D508" s="187"/>
      <c r="E508" s="187"/>
      <c r="F508" s="281"/>
      <c r="G508" s="434" t="s">
        <v>4592</v>
      </c>
      <c r="H508" s="665"/>
      <c r="I508" s="844"/>
      <c r="J508" s="844"/>
      <c r="K508" s="942"/>
    </row>
    <row r="509" spans="1:25">
      <c r="A509" s="648"/>
      <c r="B509" s="187"/>
      <c r="C509" s="195" t="s">
        <v>3997</v>
      </c>
      <c r="D509" s="187"/>
      <c r="E509" s="187"/>
      <c r="F509" s="648"/>
      <c r="G509" s="435" t="s">
        <v>4436</v>
      </c>
      <c r="H509" s="664"/>
      <c r="I509" s="845"/>
      <c r="J509" s="845"/>
      <c r="K509" s="943"/>
    </row>
    <row r="510" spans="1:25" ht="30.75" thickBot="1">
      <c r="A510" s="616"/>
      <c r="B510" s="187"/>
      <c r="C510" s="320"/>
      <c r="D510" s="187">
        <v>160</v>
      </c>
      <c r="E510" s="287"/>
      <c r="F510" s="663"/>
      <c r="G510" s="436" t="s">
        <v>4461</v>
      </c>
      <c r="H510" s="664"/>
      <c r="I510" s="845"/>
      <c r="J510" s="845"/>
      <c r="K510" s="943"/>
    </row>
    <row r="511" spans="1:25">
      <c r="A511" s="616"/>
      <c r="B511" s="187"/>
      <c r="C511" s="289" t="s">
        <v>3997</v>
      </c>
      <c r="D511" s="187">
        <v>160</v>
      </c>
      <c r="E511" s="567">
        <v>198</v>
      </c>
      <c r="F511" s="584">
        <v>421</v>
      </c>
      <c r="G511" s="433" t="s">
        <v>3771</v>
      </c>
      <c r="H511" s="585">
        <v>100000</v>
      </c>
      <c r="I511" s="889">
        <v>0</v>
      </c>
      <c r="J511" s="940">
        <f>H511-I511</f>
        <v>100000</v>
      </c>
      <c r="K511" s="946">
        <v>0</v>
      </c>
    </row>
    <row r="512" spans="1:25">
      <c r="A512" s="616"/>
      <c r="B512" s="187"/>
      <c r="C512" s="289" t="s">
        <v>3997</v>
      </c>
      <c r="D512" s="187">
        <v>160</v>
      </c>
      <c r="E512" s="567">
        <v>199</v>
      </c>
      <c r="F512" s="1075">
        <v>423</v>
      </c>
      <c r="G512" s="630" t="s">
        <v>3773</v>
      </c>
      <c r="H512" s="586">
        <v>300000</v>
      </c>
      <c r="I512" s="1076">
        <v>30000</v>
      </c>
      <c r="J512" s="1079">
        <f>H512-I512</f>
        <v>270000</v>
      </c>
      <c r="K512" s="947">
        <v>0</v>
      </c>
    </row>
    <row r="513" spans="1:11">
      <c r="A513" s="616"/>
      <c r="B513" s="187"/>
      <c r="C513" s="289" t="s">
        <v>3997</v>
      </c>
      <c r="D513" s="187">
        <v>160</v>
      </c>
      <c r="E513" s="567">
        <v>200</v>
      </c>
      <c r="F513" s="587">
        <v>424</v>
      </c>
      <c r="G513" s="630" t="s">
        <v>3775</v>
      </c>
      <c r="H513" s="588">
        <v>700000</v>
      </c>
      <c r="I513" s="890">
        <v>0</v>
      </c>
      <c r="J513" s="1079">
        <f t="shared" ref="J513:J515" si="33">H513-I513</f>
        <v>700000</v>
      </c>
      <c r="K513" s="947">
        <v>0</v>
      </c>
    </row>
    <row r="514" spans="1:11">
      <c r="A514" s="616"/>
      <c r="B514" s="187"/>
      <c r="C514" s="289" t="s">
        <v>3997</v>
      </c>
      <c r="D514" s="187">
        <v>160</v>
      </c>
      <c r="E514" s="567">
        <v>201</v>
      </c>
      <c r="F514" s="587">
        <v>426</v>
      </c>
      <c r="G514" s="630" t="s">
        <v>3779</v>
      </c>
      <c r="H514" s="588">
        <v>100000</v>
      </c>
      <c r="I514" s="890">
        <v>15000</v>
      </c>
      <c r="J514" s="1079">
        <f t="shared" si="33"/>
        <v>85000</v>
      </c>
      <c r="K514" s="947">
        <v>0</v>
      </c>
    </row>
    <row r="515" spans="1:11" ht="15.75" thickBot="1">
      <c r="A515" s="616"/>
      <c r="B515" s="187"/>
      <c r="C515" s="289" t="s">
        <v>3997</v>
      </c>
      <c r="D515" s="187">
        <v>160</v>
      </c>
      <c r="E515" s="567">
        <v>202</v>
      </c>
      <c r="F515" s="631">
        <v>483</v>
      </c>
      <c r="G515" s="450" t="s">
        <v>4033</v>
      </c>
      <c r="H515" s="1077">
        <v>100000</v>
      </c>
      <c r="I515" s="1078">
        <v>0</v>
      </c>
      <c r="J515" s="941">
        <f t="shared" si="33"/>
        <v>100000</v>
      </c>
      <c r="K515" s="948">
        <v>0</v>
      </c>
    </row>
    <row r="516" spans="1:11" ht="15.75" thickBot="1">
      <c r="A516" s="616"/>
      <c r="B516" s="187"/>
      <c r="C516" s="286"/>
      <c r="D516" s="190"/>
      <c r="E516" s="187"/>
      <c r="F516" s="1267" t="s">
        <v>4639</v>
      </c>
      <c r="G516" s="1268"/>
      <c r="H516" s="405">
        <f>SUM(H510:H515)</f>
        <v>1300000</v>
      </c>
      <c r="I516" s="873">
        <f>SUM(I510:I515)</f>
        <v>45000</v>
      </c>
      <c r="J516" s="870">
        <f>SUM(J510:J515)</f>
        <v>1255000</v>
      </c>
      <c r="K516" s="1080">
        <v>0</v>
      </c>
    </row>
    <row r="517" spans="1:11" ht="30.75" customHeight="1" thickBot="1">
      <c r="A517" s="439"/>
      <c r="B517" s="330"/>
      <c r="C517" s="336"/>
      <c r="D517" s="337"/>
      <c r="E517" s="330"/>
      <c r="F517" s="1295" t="s">
        <v>4681</v>
      </c>
      <c r="G517" s="1296"/>
      <c r="H517" s="514">
        <f t="shared" ref="H517:J517" si="34">H516</f>
        <v>1300000</v>
      </c>
      <c r="I517" s="883">
        <f t="shared" si="34"/>
        <v>45000</v>
      </c>
      <c r="J517" s="883">
        <f t="shared" si="34"/>
        <v>1255000</v>
      </c>
      <c r="K517" s="1081">
        <v>0</v>
      </c>
    </row>
    <row r="518" spans="1:11" ht="36.75" customHeight="1" thickBot="1">
      <c r="A518" s="307"/>
      <c r="B518" s="331"/>
      <c r="C518" s="332"/>
      <c r="D518" s="331"/>
      <c r="E518" s="331"/>
      <c r="F518" s="1330" t="s">
        <v>4450</v>
      </c>
      <c r="G518" s="1331"/>
      <c r="H518" s="299">
        <f>H505+H471+H443+H517+H421</f>
        <v>815820000</v>
      </c>
      <c r="I518" s="822">
        <f t="shared" ref="I518:J518" si="35">I505+I471+I443+I517+I421</f>
        <v>396147995.11000001</v>
      </c>
      <c r="J518" s="822">
        <f t="shared" si="35"/>
        <v>419672004.88999999</v>
      </c>
      <c r="K518" s="822">
        <f>I518/H518*100</f>
        <v>48.558259801181634</v>
      </c>
    </row>
    <row r="519" spans="1:11" ht="29.25" customHeight="1" thickBot="1">
      <c r="A519" s="307"/>
      <c r="B519" s="331"/>
      <c r="C519" s="332"/>
      <c r="D519" s="331"/>
      <c r="E519" s="331"/>
      <c r="F519" s="557"/>
      <c r="G519" s="558" t="s">
        <v>4278</v>
      </c>
      <c r="H519" s="559">
        <f>H518+H60+H46+H30+H15</f>
        <v>834090000</v>
      </c>
      <c r="I519" s="891">
        <f>I518+I60+I46+I30+I15</f>
        <v>406556131.15999997</v>
      </c>
      <c r="J519" s="891">
        <f>J518+J60+J46+J30+J15</f>
        <v>427533868.84000003</v>
      </c>
      <c r="K519" s="908">
        <f>I519/H519*100</f>
        <v>48.74247756956683</v>
      </c>
    </row>
    <row r="520" spans="1:11" ht="29.25" customHeight="1" thickBot="1">
      <c r="A520" s="327"/>
      <c r="B520" s="327"/>
      <c r="C520" s="441"/>
      <c r="D520" s="327"/>
      <c r="E520" s="327"/>
      <c r="F520" s="654"/>
      <c r="G520" s="655"/>
      <c r="H520" s="656"/>
      <c r="I520" s="892"/>
      <c r="J520" s="892"/>
      <c r="K520" s="656"/>
    </row>
    <row r="521" spans="1:11" ht="12.75" customHeight="1">
      <c r="A521" s="281"/>
      <c r="B521" s="282"/>
      <c r="C521" s="653"/>
      <c r="D521" s="282"/>
      <c r="E521" s="282"/>
      <c r="F521" s="333"/>
      <c r="G521" s="334"/>
      <c r="H521" s="1322" t="s">
        <v>4706</v>
      </c>
      <c r="I521" s="1325" t="s">
        <v>4707</v>
      </c>
      <c r="J521" s="1325" t="s">
        <v>4701</v>
      </c>
    </row>
    <row r="522" spans="1:11" ht="25.5" customHeight="1">
      <c r="A522" s="648"/>
      <c r="B522" s="187"/>
      <c r="C522" s="289"/>
      <c r="D522" s="187"/>
      <c r="E522" s="187"/>
      <c r="F522" s="1289" t="s">
        <v>4279</v>
      </c>
      <c r="G522" s="1280"/>
      <c r="H522" s="1323"/>
      <c r="I522" s="1326"/>
      <c r="J522" s="1326"/>
    </row>
    <row r="523" spans="1:11" ht="24.75" customHeight="1" thickBot="1">
      <c r="A523" s="648"/>
      <c r="B523" s="187"/>
      <c r="C523" s="289"/>
      <c r="D523" s="187"/>
      <c r="E523" s="187"/>
      <c r="F523" s="1290"/>
      <c r="G523" s="1233"/>
      <c r="H523" s="1324"/>
      <c r="I523" s="1327"/>
      <c r="J523" s="1327"/>
    </row>
    <row r="524" spans="1:11">
      <c r="A524" s="648"/>
      <c r="B524" s="187"/>
      <c r="C524" s="289"/>
      <c r="D524" s="187"/>
      <c r="E524" s="187"/>
      <c r="F524" s="1291" t="s">
        <v>4280</v>
      </c>
      <c r="G524" s="1292"/>
      <c r="H524" s="295">
        <v>571700000</v>
      </c>
      <c r="I524" s="867">
        <v>363123349.81</v>
      </c>
      <c r="J524" s="901">
        <f>H524-I524</f>
        <v>208576650.19</v>
      </c>
    </row>
    <row r="525" spans="1:11" hidden="1">
      <c r="A525" s="648"/>
      <c r="B525" s="187"/>
      <c r="C525" s="289"/>
      <c r="D525" s="187"/>
      <c r="E525" s="187"/>
      <c r="F525" s="1285" t="s">
        <v>4281</v>
      </c>
      <c r="G525" s="1286"/>
      <c r="H525" s="250"/>
      <c r="I525" s="871"/>
      <c r="J525" s="902"/>
    </row>
    <row r="526" spans="1:11" hidden="1">
      <c r="A526" s="648"/>
      <c r="B526" s="187"/>
      <c r="C526" s="289"/>
      <c r="D526" s="187"/>
      <c r="E526" s="187"/>
      <c r="F526" s="1285" t="s">
        <v>4282</v>
      </c>
      <c r="G526" s="1286"/>
      <c r="H526" s="250"/>
      <c r="I526" s="871"/>
      <c r="J526" s="902"/>
    </row>
    <row r="527" spans="1:11" hidden="1">
      <c r="A527" s="648"/>
      <c r="B527" s="187"/>
      <c r="C527" s="289"/>
      <c r="D527" s="187"/>
      <c r="E527" s="187"/>
      <c r="F527" s="1285" t="s">
        <v>4283</v>
      </c>
      <c r="G527" s="1286"/>
      <c r="H527" s="250"/>
      <c r="I527" s="871"/>
      <c r="J527" s="902">
        <f>SUM(H527:I527)</f>
        <v>0</v>
      </c>
    </row>
    <row r="528" spans="1:11" hidden="1">
      <c r="A528" s="648"/>
      <c r="B528" s="187"/>
      <c r="C528" s="289"/>
      <c r="D528" s="187"/>
      <c r="E528" s="187"/>
      <c r="F528" s="1285" t="s">
        <v>4284</v>
      </c>
      <c r="G528" s="1286"/>
      <c r="H528" s="250"/>
      <c r="I528" s="871"/>
      <c r="J528" s="902">
        <f t="shared" ref="J528:J529" si="36">SUM(H528:I528)</f>
        <v>0</v>
      </c>
    </row>
    <row r="529" spans="1:10" hidden="1">
      <c r="A529" s="648"/>
      <c r="B529" s="187"/>
      <c r="C529" s="289"/>
      <c r="D529" s="187"/>
      <c r="E529" s="187"/>
      <c r="F529" s="1285" t="s">
        <v>4285</v>
      </c>
      <c r="G529" s="1286"/>
      <c r="H529" s="250"/>
      <c r="I529" s="871"/>
      <c r="J529" s="902">
        <f t="shared" si="36"/>
        <v>0</v>
      </c>
    </row>
    <row r="530" spans="1:10">
      <c r="A530" s="648"/>
      <c r="B530" s="187"/>
      <c r="C530" s="289"/>
      <c r="D530" s="187"/>
      <c r="E530" s="187"/>
      <c r="F530" s="1285" t="s">
        <v>4446</v>
      </c>
      <c r="G530" s="1286"/>
      <c r="H530" s="335">
        <v>69390000</v>
      </c>
      <c r="I530" s="871">
        <v>3631895.98</v>
      </c>
      <c r="J530" s="902">
        <f>H530-I530</f>
        <v>65758104.020000003</v>
      </c>
    </row>
    <row r="531" spans="1:10">
      <c r="A531" s="648"/>
      <c r="B531" s="187"/>
      <c r="C531" s="289"/>
      <c r="D531" s="187"/>
      <c r="E531" s="187"/>
      <c r="F531" s="1285" t="s">
        <v>4551</v>
      </c>
      <c r="G531" s="1286"/>
      <c r="H531" s="250">
        <v>3700000</v>
      </c>
      <c r="I531" s="871">
        <v>715200</v>
      </c>
      <c r="J531" s="902">
        <f t="shared" ref="J531:J540" si="37">H531-I531</f>
        <v>2984800</v>
      </c>
    </row>
    <row r="532" spans="1:10">
      <c r="A532" s="648"/>
      <c r="B532" s="187"/>
      <c r="C532" s="289"/>
      <c r="D532" s="187"/>
      <c r="E532" s="187"/>
      <c r="F532" s="1285" t="s">
        <v>4286</v>
      </c>
      <c r="G532" s="1286"/>
      <c r="H532" s="250">
        <v>98300000</v>
      </c>
      <c r="I532" s="871">
        <v>10079824.630000001</v>
      </c>
      <c r="J532" s="902">
        <f t="shared" si="37"/>
        <v>88220175.370000005</v>
      </c>
    </row>
    <row r="533" spans="1:10" hidden="1">
      <c r="A533" s="648"/>
      <c r="B533" s="187"/>
      <c r="C533" s="289"/>
      <c r="D533" s="187"/>
      <c r="E533" s="187"/>
      <c r="F533" s="1285" t="s">
        <v>4287</v>
      </c>
      <c r="G533" s="1286"/>
      <c r="H533" s="250"/>
      <c r="I533" s="871"/>
      <c r="J533" s="902">
        <f t="shared" si="37"/>
        <v>0</v>
      </c>
    </row>
    <row r="534" spans="1:10" hidden="1">
      <c r="A534" s="648"/>
      <c r="B534" s="187"/>
      <c r="C534" s="289"/>
      <c r="D534" s="187"/>
      <c r="E534" s="187"/>
      <c r="F534" s="1285" t="s">
        <v>4288</v>
      </c>
      <c r="G534" s="1286"/>
      <c r="H534" s="250"/>
      <c r="I534" s="871"/>
      <c r="J534" s="902">
        <f t="shared" si="37"/>
        <v>0</v>
      </c>
    </row>
    <row r="535" spans="1:10" ht="39" hidden="1" customHeight="1">
      <c r="A535" s="648"/>
      <c r="B535" s="187"/>
      <c r="C535" s="289"/>
      <c r="D535" s="187"/>
      <c r="E535" s="187"/>
      <c r="F535" s="1287" t="s">
        <v>4289</v>
      </c>
      <c r="G535" s="1288"/>
      <c r="H535" s="250"/>
      <c r="I535" s="871"/>
      <c r="J535" s="902">
        <f t="shared" si="37"/>
        <v>0</v>
      </c>
    </row>
    <row r="536" spans="1:10" ht="15.75" thickBot="1">
      <c r="A536" s="648"/>
      <c r="B536" s="187"/>
      <c r="C536" s="289"/>
      <c r="D536" s="187"/>
      <c r="E536" s="187"/>
      <c r="F536" s="1285" t="s">
        <v>4290</v>
      </c>
      <c r="G536" s="1286"/>
      <c r="H536" s="250">
        <v>91000000</v>
      </c>
      <c r="I536" s="871">
        <v>29005860.739999998</v>
      </c>
      <c r="J536" s="902">
        <f t="shared" si="37"/>
        <v>61994139.260000005</v>
      </c>
    </row>
    <row r="537" spans="1:10" hidden="1">
      <c r="A537" s="648"/>
      <c r="B537" s="187"/>
      <c r="C537" s="289"/>
      <c r="D537" s="187"/>
      <c r="E537" s="187"/>
      <c r="F537" s="1285" t="s">
        <v>4552</v>
      </c>
      <c r="G537" s="1286"/>
      <c r="H537" s="250"/>
      <c r="I537" s="340"/>
      <c r="J537" s="845">
        <f t="shared" si="37"/>
        <v>0</v>
      </c>
    </row>
    <row r="538" spans="1:10" hidden="1">
      <c r="A538" s="648"/>
      <c r="B538" s="187"/>
      <c r="C538" s="289"/>
      <c r="D538" s="187"/>
      <c r="E538" s="187"/>
      <c r="F538" s="1285" t="s">
        <v>4553</v>
      </c>
      <c r="G538" s="1286"/>
      <c r="H538" s="250"/>
      <c r="I538" s="340"/>
      <c r="J538" s="845">
        <f t="shared" si="37"/>
        <v>0</v>
      </c>
    </row>
    <row r="539" spans="1:10" hidden="1">
      <c r="A539" s="648"/>
      <c r="B539" s="187"/>
      <c r="C539" s="289"/>
      <c r="D539" s="187"/>
      <c r="E539" s="187"/>
      <c r="F539" s="1285" t="s">
        <v>4554</v>
      </c>
      <c r="G539" s="1286"/>
      <c r="H539" s="250"/>
      <c r="I539" s="340"/>
      <c r="J539" s="845">
        <f t="shared" si="37"/>
        <v>0</v>
      </c>
    </row>
    <row r="540" spans="1:10" ht="15.75" hidden="1" thickBot="1">
      <c r="A540" s="648"/>
      <c r="B540" s="187"/>
      <c r="C540" s="289"/>
      <c r="D540" s="187"/>
      <c r="E540" s="187"/>
      <c r="F540" s="1283" t="s">
        <v>4555</v>
      </c>
      <c r="G540" s="1284"/>
      <c r="H540" s="272"/>
      <c r="I540" s="850">
        <v>0</v>
      </c>
      <c r="J540" s="845">
        <f t="shared" si="37"/>
        <v>0</v>
      </c>
    </row>
    <row r="541" spans="1:10" ht="29.25" customHeight="1" thickBot="1">
      <c r="A541" s="271"/>
      <c r="B541" s="274"/>
      <c r="C541" s="290"/>
      <c r="D541" s="274"/>
      <c r="E541" s="274"/>
      <c r="F541" s="652"/>
      <c r="G541" s="558" t="s">
        <v>4278</v>
      </c>
      <c r="H541" s="560">
        <f>SUM(H524:H540)</f>
        <v>834090000</v>
      </c>
      <c r="I541" s="893">
        <f>SUM(I524:I540)</f>
        <v>406556131.16000003</v>
      </c>
      <c r="J541" s="909">
        <f>SUM(J524:J540)</f>
        <v>427533868.83999997</v>
      </c>
    </row>
    <row r="545" spans="11:11">
      <c r="K545" s="1127"/>
    </row>
  </sheetData>
  <mergeCells count="169">
    <mergeCell ref="H521:H523"/>
    <mergeCell ref="I521:I523"/>
    <mergeCell ref="J521:J523"/>
    <mergeCell ref="F517:G517"/>
    <mergeCell ref="F246:G246"/>
    <mergeCell ref="F339:G339"/>
    <mergeCell ref="F398:G398"/>
    <mergeCell ref="F303:G303"/>
    <mergeCell ref="F284:G284"/>
    <mergeCell ref="F291:G291"/>
    <mergeCell ref="F363:G363"/>
    <mergeCell ref="F442:G442"/>
    <mergeCell ref="F470:G470"/>
    <mergeCell ref="F495:G495"/>
    <mergeCell ref="F504:G504"/>
    <mergeCell ref="F412:G412"/>
    <mergeCell ref="F419:G419"/>
    <mergeCell ref="F420:G420"/>
    <mergeCell ref="F313:G313"/>
    <mergeCell ref="F312:G312"/>
    <mergeCell ref="F518:G518"/>
    <mergeCell ref="F494:G494"/>
    <mergeCell ref="F503:G503"/>
    <mergeCell ref="F505:G505"/>
    <mergeCell ref="I15:I17"/>
    <mergeCell ref="J15:J17"/>
    <mergeCell ref="F29:G29"/>
    <mergeCell ref="F15:G17"/>
    <mergeCell ref="H15:H17"/>
    <mergeCell ref="F377:G377"/>
    <mergeCell ref="F469:G469"/>
    <mergeCell ref="F98:G98"/>
    <mergeCell ref="F70:G70"/>
    <mergeCell ref="F117:G117"/>
    <mergeCell ref="F118:G118"/>
    <mergeCell ref="F389:G389"/>
    <mergeCell ref="H249:H251"/>
    <mergeCell ref="I249:I251"/>
    <mergeCell ref="J249:J251"/>
    <mergeCell ref="F276:G276"/>
    <mergeCell ref="F259:G259"/>
    <mergeCell ref="F264:G264"/>
    <mergeCell ref="F327:G327"/>
    <mergeCell ref="F180:G180"/>
    <mergeCell ref="F334:G334"/>
    <mergeCell ref="F340:G340"/>
    <mergeCell ref="F235:G235"/>
    <mergeCell ref="F240:G240"/>
    <mergeCell ref="F525:G525"/>
    <mergeCell ref="F526:G526"/>
    <mergeCell ref="F527:G527"/>
    <mergeCell ref="F528:G528"/>
    <mergeCell ref="F529:G529"/>
    <mergeCell ref="F522:G522"/>
    <mergeCell ref="F523:G523"/>
    <mergeCell ref="F524:G524"/>
    <mergeCell ref="F110:G110"/>
    <mergeCell ref="F253:G253"/>
    <mergeCell ref="F277:G277"/>
    <mergeCell ref="F358:G358"/>
    <mergeCell ref="F376:G376"/>
    <mergeCell ref="F383:G383"/>
    <mergeCell ref="F471:G471"/>
    <mergeCell ref="F421:G421"/>
    <mergeCell ref="F441:G441"/>
    <mergeCell ref="F411:G411"/>
    <mergeCell ref="F443:G443"/>
    <mergeCell ref="F516:G516"/>
    <mergeCell ref="F388:G388"/>
    <mergeCell ref="F346:G346"/>
    <mergeCell ref="F352:G352"/>
    <mergeCell ref="F351:G351"/>
    <mergeCell ref="F540:G540"/>
    <mergeCell ref="F530:G530"/>
    <mergeCell ref="F531:G531"/>
    <mergeCell ref="F532:G532"/>
    <mergeCell ref="F533:G533"/>
    <mergeCell ref="F534:G534"/>
    <mergeCell ref="F535:G535"/>
    <mergeCell ref="F536:G536"/>
    <mergeCell ref="F537:G537"/>
    <mergeCell ref="F538:G538"/>
    <mergeCell ref="F539:G539"/>
    <mergeCell ref="F205:G205"/>
    <mergeCell ref="F211:G211"/>
    <mergeCell ref="F229:G229"/>
    <mergeCell ref="F191:G191"/>
    <mergeCell ref="F368:G368"/>
    <mergeCell ref="E206:L206"/>
    <mergeCell ref="E212:K212"/>
    <mergeCell ref="E218:K218"/>
    <mergeCell ref="E224:K224"/>
    <mergeCell ref="E230:L230"/>
    <mergeCell ref="E236:K236"/>
    <mergeCell ref="E241:K241"/>
    <mergeCell ref="J248:K248"/>
    <mergeCell ref="J254:K254"/>
    <mergeCell ref="J260:K260"/>
    <mergeCell ref="J265:K265"/>
    <mergeCell ref="J270:K270"/>
    <mergeCell ref="A248:E248"/>
    <mergeCell ref="J285:K285"/>
    <mergeCell ref="E292:K292"/>
    <mergeCell ref="E299:K299"/>
    <mergeCell ref="E304:K304"/>
    <mergeCell ref="J314:K314"/>
    <mergeCell ref="J328:K328"/>
    <mergeCell ref="F84:G84"/>
    <mergeCell ref="F269:G269"/>
    <mergeCell ref="F75:G75"/>
    <mergeCell ref="F103:G103"/>
    <mergeCell ref="F93:G93"/>
    <mergeCell ref="F14:G14"/>
    <mergeCell ref="F45:G45"/>
    <mergeCell ref="F59:G59"/>
    <mergeCell ref="F30:G30"/>
    <mergeCell ref="F46:G46"/>
    <mergeCell ref="F60:G60"/>
    <mergeCell ref="F109:G109"/>
    <mergeCell ref="F217:G217"/>
    <mergeCell ref="F223:G223"/>
    <mergeCell ref="F144:G144"/>
    <mergeCell ref="F154:G154"/>
    <mergeCell ref="F159:G159"/>
    <mergeCell ref="F149:G149"/>
    <mergeCell ref="F199:G199"/>
    <mergeCell ref="F181:G181"/>
    <mergeCell ref="F160:G160"/>
    <mergeCell ref="F168:G168"/>
    <mergeCell ref="F245:G245"/>
    <mergeCell ref="F167:G167"/>
    <mergeCell ref="J3:K3"/>
    <mergeCell ref="J19:K19"/>
    <mergeCell ref="J33:K33"/>
    <mergeCell ref="J48:K48"/>
    <mergeCell ref="J62:K62"/>
    <mergeCell ref="J71:K71"/>
    <mergeCell ref="J76:K76"/>
    <mergeCell ref="J85:K85"/>
    <mergeCell ref="J94:K94"/>
    <mergeCell ref="K15:K17"/>
    <mergeCell ref="J99:K99"/>
    <mergeCell ref="J104:K104"/>
    <mergeCell ref="J111:K111"/>
    <mergeCell ref="H145:K145"/>
    <mergeCell ref="I150:K150"/>
    <mergeCell ref="I155:K155"/>
    <mergeCell ref="J182:K182"/>
    <mergeCell ref="J192:K192"/>
    <mergeCell ref="E200:K200"/>
    <mergeCell ref="E335:K335"/>
    <mergeCell ref="J341:K341"/>
    <mergeCell ref="J347:K347"/>
    <mergeCell ref="F298:G298"/>
    <mergeCell ref="E496:K496"/>
    <mergeCell ref="J506:K506"/>
    <mergeCell ref="J473:K473"/>
    <mergeCell ref="J507:K507"/>
    <mergeCell ref="E359:K359"/>
    <mergeCell ref="E364:K364"/>
    <mergeCell ref="E369:K369"/>
    <mergeCell ref="J384:K384"/>
    <mergeCell ref="E407:K407"/>
    <mergeCell ref="J422:K422"/>
    <mergeCell ref="J423:K423"/>
    <mergeCell ref="J444:K444"/>
    <mergeCell ref="J445:K445"/>
    <mergeCell ref="F406:G406"/>
    <mergeCell ref="F399:G399"/>
  </mergeCells>
  <pageMargins left="0.24" right="0.27" top="0.26" bottom="0.24" header="0.2" footer="0.19"/>
  <pageSetup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AD4732"/>
  <sheetViews>
    <sheetView topLeftCell="A43" workbookViewId="0">
      <selection activeCell="H22" sqref="H22"/>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332" t="s">
        <v>95</v>
      </c>
      <c r="B1" s="1332"/>
      <c r="G1" s="1333" t="s">
        <v>235</v>
      </c>
      <c r="H1" s="1333"/>
      <c r="L1" s="1334" t="s">
        <v>267</v>
      </c>
      <c r="M1" s="1334"/>
      <c r="N1" s="64"/>
      <c r="O1" s="64"/>
      <c r="P1" s="64" t="s">
        <v>3557</v>
      </c>
    </row>
    <row r="2" spans="1:18">
      <c r="A2" s="55">
        <v>0</v>
      </c>
      <c r="B2" s="54" t="s">
        <v>96</v>
      </c>
      <c r="G2" s="219" t="s">
        <v>236</v>
      </c>
      <c r="H2" s="220" t="s">
        <v>237</v>
      </c>
      <c r="L2" s="65" t="s">
        <v>3556</v>
      </c>
      <c r="M2" s="65" t="s">
        <v>24</v>
      </c>
      <c r="P2" s="63" t="s">
        <v>3603</v>
      </c>
      <c r="Q2" s="63" t="s">
        <v>3604</v>
      </c>
      <c r="R2" s="63" t="s">
        <v>3605</v>
      </c>
    </row>
    <row r="3" spans="1:18">
      <c r="A3" s="58">
        <v>10</v>
      </c>
      <c r="B3" s="57" t="s">
        <v>97</v>
      </c>
      <c r="G3" s="219" t="s">
        <v>238</v>
      </c>
      <c r="H3" s="220" t="s">
        <v>239</v>
      </c>
      <c r="L3" s="66">
        <v>0</v>
      </c>
      <c r="M3" t="s">
        <v>268</v>
      </c>
      <c r="O3" s="62"/>
      <c r="P3" s="68" t="s">
        <v>3662</v>
      </c>
      <c r="Q3" s="69" t="s">
        <v>3559</v>
      </c>
      <c r="R3" s="70" t="s">
        <v>3560</v>
      </c>
    </row>
    <row r="4" spans="1:18">
      <c r="A4" s="58">
        <v>20</v>
      </c>
      <c r="B4" s="57" t="s">
        <v>98</v>
      </c>
      <c r="G4" s="219" t="s">
        <v>240</v>
      </c>
      <c r="H4" s="220" t="s">
        <v>241</v>
      </c>
      <c r="L4" s="66">
        <v>10000</v>
      </c>
      <c r="M4" t="s">
        <v>269</v>
      </c>
      <c r="O4" s="61"/>
      <c r="P4" s="68" t="s">
        <v>3663</v>
      </c>
      <c r="Q4" s="69" t="s">
        <v>3562</v>
      </c>
      <c r="R4" s="70" t="s">
        <v>3563</v>
      </c>
    </row>
    <row r="5" spans="1:18">
      <c r="A5" s="58">
        <v>30</v>
      </c>
      <c r="B5" s="57" t="s">
        <v>99</v>
      </c>
      <c r="G5" s="219" t="s">
        <v>242</v>
      </c>
      <c r="H5" s="220" t="s">
        <v>243</v>
      </c>
      <c r="L5" s="66">
        <v>11000</v>
      </c>
      <c r="M5" t="s">
        <v>270</v>
      </c>
      <c r="P5" s="68" t="s">
        <v>3664</v>
      </c>
      <c r="Q5" s="69" t="s">
        <v>3565</v>
      </c>
      <c r="R5" s="70" t="s">
        <v>3566</v>
      </c>
    </row>
    <row r="6" spans="1:18">
      <c r="A6" s="58">
        <v>40</v>
      </c>
      <c r="B6" s="57" t="s">
        <v>100</v>
      </c>
      <c r="G6" s="219" t="s">
        <v>244</v>
      </c>
      <c r="H6" s="220" t="s">
        <v>245</v>
      </c>
      <c r="L6" s="66">
        <v>11100</v>
      </c>
      <c r="M6" t="s">
        <v>271</v>
      </c>
      <c r="P6" s="68" t="s">
        <v>3665</v>
      </c>
      <c r="Q6" s="69" t="s">
        <v>3568</v>
      </c>
      <c r="R6" s="70" t="s">
        <v>3569</v>
      </c>
    </row>
    <row r="7" spans="1:18">
      <c r="A7" s="58">
        <v>50</v>
      </c>
      <c r="B7" s="57" t="s">
        <v>101</v>
      </c>
      <c r="G7" s="219" t="s">
        <v>246</v>
      </c>
      <c r="H7" s="220" t="s">
        <v>247</v>
      </c>
      <c r="L7" s="66">
        <v>11110</v>
      </c>
      <c r="M7" t="s">
        <v>272</v>
      </c>
      <c r="P7" s="68" t="s">
        <v>3666</v>
      </c>
      <c r="Q7" s="69" t="s">
        <v>3571</v>
      </c>
      <c r="R7" s="70" t="s">
        <v>3572</v>
      </c>
    </row>
    <row r="8" spans="1:18">
      <c r="A8" s="58">
        <v>60</v>
      </c>
      <c r="B8" s="57" t="s">
        <v>102</v>
      </c>
      <c r="G8" s="219" t="s">
        <v>248</v>
      </c>
      <c r="H8" s="220" t="s">
        <v>249</v>
      </c>
      <c r="L8" s="66">
        <v>11111</v>
      </c>
      <c r="M8" t="s">
        <v>273</v>
      </c>
      <c r="P8" s="68" t="s">
        <v>3667</v>
      </c>
      <c r="Q8" s="69" t="s">
        <v>3574</v>
      </c>
      <c r="R8" s="70" t="s">
        <v>3575</v>
      </c>
    </row>
    <row r="9" spans="1:18">
      <c r="A9" s="58">
        <v>70</v>
      </c>
      <c r="B9" s="57" t="s">
        <v>103</v>
      </c>
      <c r="G9" s="219" t="s">
        <v>250</v>
      </c>
      <c r="H9" s="220" t="s">
        <v>4668</v>
      </c>
      <c r="L9" s="66">
        <v>11112</v>
      </c>
      <c r="M9" t="s">
        <v>274</v>
      </c>
      <c r="P9" s="68" t="s">
        <v>3668</v>
      </c>
      <c r="Q9" s="69" t="s">
        <v>3577</v>
      </c>
      <c r="R9" s="70" t="s">
        <v>3578</v>
      </c>
    </row>
    <row r="10" spans="1:18">
      <c r="A10" s="58">
        <v>80</v>
      </c>
      <c r="B10" s="57" t="s">
        <v>104</v>
      </c>
      <c r="G10" s="219" t="s">
        <v>251</v>
      </c>
      <c r="H10" s="220" t="s">
        <v>59</v>
      </c>
      <c r="L10" s="66">
        <v>11113</v>
      </c>
      <c r="M10" t="s">
        <v>275</v>
      </c>
      <c r="P10" s="68" t="s">
        <v>3669</v>
      </c>
      <c r="Q10" s="69" t="s">
        <v>3580</v>
      </c>
      <c r="R10" s="70" t="s">
        <v>3581</v>
      </c>
    </row>
    <row r="11" spans="1:18">
      <c r="A11" s="58">
        <v>90</v>
      </c>
      <c r="B11" s="57" t="s">
        <v>105</v>
      </c>
      <c r="G11" s="219" t="s">
        <v>252</v>
      </c>
      <c r="H11" s="220" t="s">
        <v>253</v>
      </c>
      <c r="L11" s="66">
        <v>11115</v>
      </c>
      <c r="M11" t="s">
        <v>276</v>
      </c>
      <c r="P11" s="68" t="s">
        <v>3670</v>
      </c>
      <c r="Q11" s="69" t="s">
        <v>3583</v>
      </c>
      <c r="R11" s="70" t="s">
        <v>3584</v>
      </c>
    </row>
    <row r="12" spans="1:18">
      <c r="A12" s="53">
        <v>100</v>
      </c>
      <c r="B12" s="54" t="s">
        <v>106</v>
      </c>
      <c r="G12" s="219" t="s">
        <v>254</v>
      </c>
      <c r="H12" s="220" t="s">
        <v>255</v>
      </c>
      <c r="L12" s="66">
        <v>11116</v>
      </c>
      <c r="M12" t="s">
        <v>277</v>
      </c>
      <c r="P12" s="68" t="s">
        <v>3671</v>
      </c>
      <c r="Q12" s="69" t="s">
        <v>3586</v>
      </c>
      <c r="R12" s="70" t="s">
        <v>3587</v>
      </c>
    </row>
    <row r="13" spans="1:18">
      <c r="A13" s="56">
        <v>110</v>
      </c>
      <c r="B13" s="57" t="s">
        <v>107</v>
      </c>
      <c r="G13" s="219" t="s">
        <v>256</v>
      </c>
      <c r="H13" s="220" t="s">
        <v>257</v>
      </c>
      <c r="L13" s="66">
        <v>11117</v>
      </c>
      <c r="M13" t="s">
        <v>278</v>
      </c>
      <c r="P13" s="68" t="s">
        <v>3672</v>
      </c>
      <c r="Q13" s="69" t="s">
        <v>3589</v>
      </c>
      <c r="R13" s="70" t="s">
        <v>3590</v>
      </c>
    </row>
    <row r="14" spans="1:18">
      <c r="A14" s="59">
        <v>111</v>
      </c>
      <c r="B14" s="60" t="s">
        <v>108</v>
      </c>
      <c r="G14" s="219" t="s">
        <v>258</v>
      </c>
      <c r="H14" s="220" t="s">
        <v>259</v>
      </c>
      <c r="L14" s="66">
        <v>11118</v>
      </c>
      <c r="M14" t="s">
        <v>279</v>
      </c>
      <c r="P14" s="68" t="s">
        <v>3673</v>
      </c>
      <c r="Q14" s="69" t="s">
        <v>3592</v>
      </c>
      <c r="R14" s="70" t="s">
        <v>3593</v>
      </c>
    </row>
    <row r="15" spans="1:18">
      <c r="A15" s="59">
        <v>112</v>
      </c>
      <c r="B15" s="60" t="s">
        <v>109</v>
      </c>
      <c r="G15" s="219" t="s">
        <v>260</v>
      </c>
      <c r="H15" s="220" t="s">
        <v>261</v>
      </c>
      <c r="L15" s="66">
        <v>11119</v>
      </c>
      <c r="M15" t="s">
        <v>280</v>
      </c>
      <c r="P15" s="68" t="s">
        <v>3674</v>
      </c>
      <c r="Q15" s="69" t="s">
        <v>3595</v>
      </c>
      <c r="R15" s="70" t="s">
        <v>3596</v>
      </c>
    </row>
    <row r="16" spans="1:18">
      <c r="A16" s="59">
        <v>113</v>
      </c>
      <c r="B16" s="60" t="s">
        <v>110</v>
      </c>
      <c r="G16" s="219" t="s">
        <v>262</v>
      </c>
      <c r="H16" s="220" t="s">
        <v>263</v>
      </c>
      <c r="L16" s="66">
        <v>11120</v>
      </c>
      <c r="M16" t="s">
        <v>281</v>
      </c>
      <c r="P16" s="68" t="s">
        <v>3675</v>
      </c>
      <c r="Q16" s="69" t="s">
        <v>3598</v>
      </c>
      <c r="R16" s="70" t="s">
        <v>3599</v>
      </c>
    </row>
    <row r="17" spans="1:30">
      <c r="A17" s="56">
        <v>120</v>
      </c>
      <c r="B17" s="57" t="s">
        <v>111</v>
      </c>
      <c r="G17" s="219" t="s">
        <v>264</v>
      </c>
      <c r="H17" s="220" t="s">
        <v>265</v>
      </c>
      <c r="L17" s="66">
        <v>11121</v>
      </c>
      <c r="M17" t="s">
        <v>282</v>
      </c>
      <c r="P17" s="68" t="s">
        <v>3676</v>
      </c>
      <c r="Q17" s="69" t="s">
        <v>3601</v>
      </c>
      <c r="R17" s="70" t="s">
        <v>3602</v>
      </c>
    </row>
    <row r="18" spans="1:30">
      <c r="A18" s="59">
        <v>121</v>
      </c>
      <c r="B18" s="60" t="s">
        <v>112</v>
      </c>
      <c r="L18" s="66">
        <v>11125</v>
      </c>
      <c r="M18" t="s">
        <v>283</v>
      </c>
    </row>
    <row r="19" spans="1:30">
      <c r="A19" s="59">
        <v>122</v>
      </c>
      <c r="B19" s="60" t="s">
        <v>113</v>
      </c>
      <c r="L19" s="66">
        <v>11126</v>
      </c>
      <c r="M19" t="s">
        <v>284</v>
      </c>
    </row>
    <row r="20" spans="1:30">
      <c r="A20" s="56">
        <v>130</v>
      </c>
      <c r="B20" s="57" t="s">
        <v>114</v>
      </c>
      <c r="L20" s="66">
        <v>11127</v>
      </c>
      <c r="M20" t="s">
        <v>285</v>
      </c>
    </row>
    <row r="21" spans="1:30">
      <c r="A21" s="59">
        <v>131</v>
      </c>
      <c r="B21" s="60" t="s">
        <v>115</v>
      </c>
      <c r="L21" s="66">
        <v>11128</v>
      </c>
      <c r="M21" t="s">
        <v>286</v>
      </c>
    </row>
    <row r="22" spans="1:30">
      <c r="A22" s="59">
        <v>132</v>
      </c>
      <c r="B22" s="60" t="s">
        <v>116</v>
      </c>
      <c r="L22" s="66">
        <v>11129</v>
      </c>
      <c r="M22" t="s">
        <v>287</v>
      </c>
    </row>
    <row r="23" spans="1:30">
      <c r="A23" s="59">
        <v>133</v>
      </c>
      <c r="B23" s="60" t="s">
        <v>117</v>
      </c>
      <c r="L23" s="66">
        <v>11130</v>
      </c>
      <c r="M23" t="s">
        <v>288</v>
      </c>
      <c r="P23" s="71" t="s">
        <v>3558</v>
      </c>
      <c r="Q23" s="72" t="s">
        <v>3606</v>
      </c>
      <c r="R23" s="72" t="s">
        <v>3607</v>
      </c>
      <c r="S23" s="73"/>
      <c r="T23" s="73"/>
      <c r="U23" s="73"/>
      <c r="V23" s="73"/>
      <c r="W23" s="73"/>
      <c r="X23" s="73"/>
      <c r="Y23" s="73"/>
      <c r="Z23" s="73"/>
      <c r="AA23" s="73"/>
      <c r="AB23" s="73"/>
      <c r="AC23" s="73"/>
      <c r="AD23" s="73"/>
    </row>
    <row r="24" spans="1:30">
      <c r="A24" s="56">
        <v>140</v>
      </c>
      <c r="B24" s="57" t="s">
        <v>118</v>
      </c>
      <c r="L24" s="66">
        <v>11131</v>
      </c>
      <c r="M24" t="s">
        <v>289</v>
      </c>
      <c r="P24" s="71" t="s">
        <v>3561</v>
      </c>
      <c r="Q24" s="72" t="s">
        <v>3608</v>
      </c>
      <c r="R24" s="72" t="s">
        <v>3609</v>
      </c>
      <c r="S24" s="72" t="s">
        <v>3610</v>
      </c>
      <c r="T24" s="72" t="s">
        <v>3611</v>
      </c>
      <c r="U24" s="72" t="s">
        <v>3612</v>
      </c>
      <c r="V24" s="72" t="s">
        <v>3613</v>
      </c>
      <c r="W24" s="72" t="s">
        <v>3614</v>
      </c>
      <c r="X24" s="72" t="s">
        <v>3615</v>
      </c>
      <c r="Y24" s="72" t="s">
        <v>3616</v>
      </c>
      <c r="Z24" s="72" t="s">
        <v>3617</v>
      </c>
      <c r="AA24" s="72" t="s">
        <v>3618</v>
      </c>
      <c r="AB24" s="72" t="s">
        <v>3619</v>
      </c>
      <c r="AC24" s="72" t="s">
        <v>3620</v>
      </c>
      <c r="AD24" s="72" t="s">
        <v>3621</v>
      </c>
    </row>
    <row r="25" spans="1:30">
      <c r="A25" s="56">
        <v>150</v>
      </c>
      <c r="B25" s="57" t="s">
        <v>119</v>
      </c>
      <c r="L25" s="66">
        <v>11132</v>
      </c>
      <c r="M25" t="s">
        <v>290</v>
      </c>
      <c r="P25" s="71" t="s">
        <v>3564</v>
      </c>
      <c r="Q25" s="72" t="s">
        <v>3622</v>
      </c>
      <c r="R25" s="72" t="s">
        <v>3623</v>
      </c>
      <c r="S25" s="72" t="s">
        <v>3624</v>
      </c>
      <c r="T25" s="72" t="s">
        <v>3625</v>
      </c>
      <c r="U25" s="72" t="s">
        <v>3626</v>
      </c>
      <c r="V25" s="73"/>
      <c r="W25" s="73"/>
      <c r="X25" s="73"/>
      <c r="Y25" s="73"/>
      <c r="Z25" s="73"/>
      <c r="AA25" s="73"/>
      <c r="AB25" s="73"/>
      <c r="AC25" s="73"/>
      <c r="AD25" s="73"/>
    </row>
    <row r="26" spans="1:30">
      <c r="A26" s="56">
        <v>160</v>
      </c>
      <c r="B26" s="57" t="s">
        <v>120</v>
      </c>
      <c r="L26" s="66">
        <v>11133</v>
      </c>
      <c r="M26" t="s">
        <v>291</v>
      </c>
      <c r="P26" s="71" t="s">
        <v>3567</v>
      </c>
      <c r="Q26" s="71" t="s">
        <v>3627</v>
      </c>
      <c r="R26" s="71" t="s">
        <v>3628</v>
      </c>
      <c r="S26" s="73"/>
      <c r="T26" s="73"/>
      <c r="U26" s="73"/>
      <c r="V26" s="73"/>
      <c r="W26" s="73"/>
      <c r="X26" s="73"/>
      <c r="Y26" s="73"/>
      <c r="Z26" s="73"/>
      <c r="AA26" s="73"/>
      <c r="AB26" s="73"/>
      <c r="AC26" s="73"/>
      <c r="AD26" s="73"/>
    </row>
    <row r="27" spans="1:30">
      <c r="A27" s="56">
        <v>170</v>
      </c>
      <c r="B27" s="57" t="s">
        <v>121</v>
      </c>
      <c r="L27" s="66">
        <v>11134</v>
      </c>
      <c r="M27" t="s">
        <v>292</v>
      </c>
      <c r="P27" s="71" t="s">
        <v>3570</v>
      </c>
      <c r="Q27" s="72" t="s">
        <v>3629</v>
      </c>
      <c r="R27" s="72" t="s">
        <v>3630</v>
      </c>
      <c r="S27" s="73"/>
      <c r="T27" s="73"/>
      <c r="U27" s="73"/>
      <c r="V27" s="73"/>
      <c r="W27" s="73"/>
      <c r="X27" s="73"/>
      <c r="Y27" s="73"/>
      <c r="Z27" s="73"/>
      <c r="AA27" s="73"/>
      <c r="AB27" s="73"/>
      <c r="AC27" s="73"/>
      <c r="AD27" s="73"/>
    </row>
    <row r="28" spans="1:30">
      <c r="A28" s="56">
        <v>180</v>
      </c>
      <c r="B28" s="57" t="s">
        <v>122</v>
      </c>
      <c r="L28" s="66">
        <v>11135</v>
      </c>
      <c r="M28" t="s">
        <v>293</v>
      </c>
      <c r="P28" s="71" t="s">
        <v>3573</v>
      </c>
      <c r="Q28" s="74" t="s">
        <v>3631</v>
      </c>
      <c r="R28" s="74" t="s">
        <v>3632</v>
      </c>
      <c r="S28" s="74" t="s">
        <v>3633</v>
      </c>
      <c r="T28" s="74" t="s">
        <v>3634</v>
      </c>
      <c r="U28" s="73"/>
      <c r="V28" s="73"/>
      <c r="W28" s="73"/>
      <c r="X28" s="73"/>
      <c r="Y28" s="73"/>
      <c r="Z28" s="73"/>
      <c r="AA28" s="73"/>
      <c r="AB28" s="73"/>
      <c r="AC28" s="73"/>
      <c r="AD28" s="73"/>
    </row>
    <row r="29" spans="1:30">
      <c r="A29" s="53">
        <v>200</v>
      </c>
      <c r="B29" s="54" t="s">
        <v>123</v>
      </c>
      <c r="L29" s="66">
        <v>11136</v>
      </c>
      <c r="M29" t="s">
        <v>294</v>
      </c>
      <c r="P29" s="71" t="s">
        <v>3576</v>
      </c>
      <c r="Q29" s="74" t="s">
        <v>3635</v>
      </c>
      <c r="R29" s="74" t="s">
        <v>3636</v>
      </c>
      <c r="S29" s="73"/>
      <c r="T29" s="73"/>
      <c r="U29" s="73"/>
      <c r="V29" s="73"/>
      <c r="W29" s="73"/>
      <c r="X29" s="73"/>
      <c r="Y29" s="73"/>
      <c r="Z29" s="73"/>
      <c r="AA29" s="73"/>
      <c r="AB29" s="73"/>
      <c r="AC29" s="73"/>
      <c r="AD29" s="73"/>
    </row>
    <row r="30" spans="1:30">
      <c r="A30" s="56">
        <v>210</v>
      </c>
      <c r="B30" s="57" t="s">
        <v>124</v>
      </c>
      <c r="L30" s="66">
        <v>11137</v>
      </c>
      <c r="M30" t="s">
        <v>295</v>
      </c>
      <c r="P30" s="71" t="s">
        <v>3579</v>
      </c>
      <c r="Q30" s="74" t="s">
        <v>3637</v>
      </c>
      <c r="R30" s="73"/>
      <c r="S30" s="73"/>
      <c r="T30" s="73"/>
      <c r="U30" s="73"/>
      <c r="V30" s="73"/>
      <c r="W30" s="73"/>
      <c r="X30" s="73"/>
      <c r="Y30" s="73"/>
      <c r="Z30" s="73"/>
      <c r="AA30" s="73"/>
      <c r="AB30" s="73"/>
      <c r="AC30" s="73"/>
      <c r="AD30" s="73"/>
    </row>
    <row r="31" spans="1:30">
      <c r="A31" s="56">
        <v>220</v>
      </c>
      <c r="B31" s="57" t="s">
        <v>125</v>
      </c>
      <c r="L31" s="66">
        <v>11138</v>
      </c>
      <c r="M31" t="s">
        <v>296</v>
      </c>
      <c r="P31" s="71" t="s">
        <v>3582</v>
      </c>
      <c r="Q31" s="74" t="s">
        <v>3638</v>
      </c>
      <c r="R31" s="73"/>
      <c r="S31" s="73"/>
      <c r="T31" s="73"/>
      <c r="U31" s="73"/>
      <c r="V31" s="73"/>
      <c r="W31" s="73"/>
      <c r="X31" s="73"/>
      <c r="Y31" s="73"/>
      <c r="Z31" s="73"/>
      <c r="AA31" s="73"/>
      <c r="AB31" s="73"/>
      <c r="AC31" s="73"/>
      <c r="AD31" s="73"/>
    </row>
    <row r="32" spans="1:30">
      <c r="A32" s="56">
        <v>230</v>
      </c>
      <c r="B32" s="57" t="s">
        <v>126</v>
      </c>
      <c r="L32" s="66">
        <v>11139</v>
      </c>
      <c r="M32" t="s">
        <v>297</v>
      </c>
      <c r="P32" s="71" t="s">
        <v>3585</v>
      </c>
      <c r="Q32" s="74" t="s">
        <v>3639</v>
      </c>
      <c r="R32" s="73"/>
      <c r="S32" s="73"/>
      <c r="T32" s="73"/>
      <c r="U32" s="73"/>
      <c r="V32" s="73"/>
      <c r="W32" s="73"/>
      <c r="X32" s="73"/>
      <c r="Y32" s="73"/>
      <c r="Z32" s="73"/>
      <c r="AA32" s="73"/>
      <c r="AB32" s="73"/>
      <c r="AC32" s="73"/>
      <c r="AD32" s="73"/>
    </row>
    <row r="33" spans="1:30">
      <c r="A33" s="56">
        <v>240</v>
      </c>
      <c r="B33" s="57" t="s">
        <v>127</v>
      </c>
      <c r="L33" s="66">
        <v>11140</v>
      </c>
      <c r="M33" t="s">
        <v>298</v>
      </c>
      <c r="P33" s="71" t="s">
        <v>3588</v>
      </c>
      <c r="Q33" s="74" t="s">
        <v>3640</v>
      </c>
      <c r="R33" s="74" t="s">
        <v>3641</v>
      </c>
      <c r="S33" s="74" t="s">
        <v>3642</v>
      </c>
      <c r="T33" s="74" t="s">
        <v>3643</v>
      </c>
      <c r="U33" s="74" t="s">
        <v>3644</v>
      </c>
      <c r="V33" s="74" t="s">
        <v>3645</v>
      </c>
      <c r="W33" s="73"/>
      <c r="X33" s="73"/>
      <c r="Y33" s="73"/>
      <c r="Z33" s="73"/>
      <c r="AA33" s="73"/>
      <c r="AB33" s="73"/>
      <c r="AC33" s="73"/>
      <c r="AD33" s="73"/>
    </row>
    <row r="34" spans="1:30">
      <c r="A34" s="56">
        <v>250</v>
      </c>
      <c r="B34" s="57" t="s">
        <v>128</v>
      </c>
      <c r="L34" s="66">
        <v>11141</v>
      </c>
      <c r="M34" t="s">
        <v>299</v>
      </c>
      <c r="P34" s="71" t="s">
        <v>3591</v>
      </c>
      <c r="Q34" s="74" t="s">
        <v>3646</v>
      </c>
      <c r="R34" s="73"/>
      <c r="S34" s="73"/>
      <c r="T34" s="73"/>
      <c r="U34" s="73"/>
      <c r="V34" s="73"/>
      <c r="W34" s="73"/>
      <c r="X34" s="73"/>
      <c r="Y34" s="73"/>
      <c r="Z34" s="73"/>
      <c r="AA34" s="73"/>
      <c r="AB34" s="73"/>
      <c r="AC34" s="73"/>
      <c r="AD34" s="73"/>
    </row>
    <row r="35" spans="1:30">
      <c r="A35" s="53">
        <v>300</v>
      </c>
      <c r="B35" s="54" t="s">
        <v>129</v>
      </c>
      <c r="L35" s="66">
        <v>11142</v>
      </c>
      <c r="M35" t="s">
        <v>300</v>
      </c>
      <c r="P35" s="71" t="s">
        <v>3594</v>
      </c>
      <c r="Q35" s="72" t="s">
        <v>3647</v>
      </c>
      <c r="R35" s="72" t="s">
        <v>3648</v>
      </c>
      <c r="S35" s="73"/>
      <c r="T35" s="73"/>
      <c r="U35" s="73"/>
      <c r="V35" s="73"/>
      <c r="W35" s="73"/>
      <c r="X35" s="73"/>
      <c r="Y35" s="73"/>
      <c r="Z35" s="73"/>
      <c r="AA35" s="73"/>
      <c r="AB35" s="73"/>
      <c r="AC35" s="73"/>
      <c r="AD35" s="73"/>
    </row>
    <row r="36" spans="1:30">
      <c r="A36" s="56">
        <v>310</v>
      </c>
      <c r="B36" s="57" t="s">
        <v>130</v>
      </c>
      <c r="L36" s="66">
        <v>11143</v>
      </c>
      <c r="M36" t="s">
        <v>301</v>
      </c>
      <c r="P36" s="71" t="s">
        <v>3597</v>
      </c>
      <c r="Q36" s="72" t="s">
        <v>3649</v>
      </c>
      <c r="R36" s="72" t="s">
        <v>3650</v>
      </c>
      <c r="S36" s="72" t="s">
        <v>3651</v>
      </c>
      <c r="T36" s="73"/>
      <c r="U36" s="73"/>
      <c r="V36" s="73"/>
      <c r="W36" s="73"/>
      <c r="X36" s="73"/>
      <c r="Y36" s="73"/>
      <c r="Z36" s="73"/>
      <c r="AA36" s="73"/>
      <c r="AB36" s="73"/>
      <c r="AC36" s="73"/>
      <c r="AD36" s="73"/>
    </row>
    <row r="37" spans="1:30">
      <c r="A37" s="56">
        <v>320</v>
      </c>
      <c r="B37" s="57" t="s">
        <v>131</v>
      </c>
      <c r="L37" s="66">
        <v>11145</v>
      </c>
      <c r="M37" t="s">
        <v>302</v>
      </c>
      <c r="P37" s="71" t="s">
        <v>3600</v>
      </c>
      <c r="Q37" s="72" t="s">
        <v>3652</v>
      </c>
      <c r="R37" s="72" t="s">
        <v>3653</v>
      </c>
      <c r="S37" s="72" t="s">
        <v>3654</v>
      </c>
      <c r="T37" s="72" t="s">
        <v>3655</v>
      </c>
      <c r="U37" s="72" t="s">
        <v>3656</v>
      </c>
      <c r="V37" s="72" t="s">
        <v>3657</v>
      </c>
      <c r="W37" s="72" t="s">
        <v>3658</v>
      </c>
      <c r="X37" s="72" t="s">
        <v>3659</v>
      </c>
      <c r="Y37" s="72" t="s">
        <v>3660</v>
      </c>
      <c r="Z37" s="72" t="s">
        <v>3661</v>
      </c>
      <c r="AA37" s="73"/>
      <c r="AB37" s="73"/>
      <c r="AC37" s="73"/>
      <c r="AD37" s="73"/>
    </row>
    <row r="38" spans="1:30">
      <c r="A38" s="56">
        <v>330</v>
      </c>
      <c r="B38" s="57" t="s">
        <v>132</v>
      </c>
      <c r="L38" s="66">
        <v>11146</v>
      </c>
      <c r="M38" t="s">
        <v>303</v>
      </c>
    </row>
    <row r="39" spans="1:30">
      <c r="A39" s="56">
        <v>350</v>
      </c>
      <c r="B39" s="57" t="s">
        <v>133</v>
      </c>
      <c r="L39" s="66">
        <v>11147</v>
      </c>
      <c r="M39" t="s">
        <v>304</v>
      </c>
    </row>
    <row r="40" spans="1:30">
      <c r="A40" s="56">
        <v>360</v>
      </c>
      <c r="B40" s="57" t="s">
        <v>134</v>
      </c>
      <c r="L40" s="66">
        <v>11148</v>
      </c>
      <c r="M40" t="s">
        <v>305</v>
      </c>
    </row>
    <row r="41" spans="1:30">
      <c r="A41" s="53">
        <v>400</v>
      </c>
      <c r="B41" s="54" t="s">
        <v>135</v>
      </c>
      <c r="L41" s="66">
        <v>11149</v>
      </c>
      <c r="M41" t="s">
        <v>306</v>
      </c>
    </row>
    <row r="42" spans="1:30">
      <c r="A42" s="56">
        <v>410</v>
      </c>
      <c r="B42" s="57" t="s">
        <v>136</v>
      </c>
      <c r="L42" s="66">
        <v>11150</v>
      </c>
      <c r="M42" t="s">
        <v>307</v>
      </c>
    </row>
    <row r="43" spans="1:30">
      <c r="A43" s="59">
        <v>411</v>
      </c>
      <c r="B43" s="60" t="s">
        <v>137</v>
      </c>
      <c r="L43" s="66">
        <v>11151</v>
      </c>
      <c r="M43" t="s">
        <v>308</v>
      </c>
    </row>
    <row r="44" spans="1:30">
      <c r="A44" s="59">
        <v>412</v>
      </c>
      <c r="B44" s="60" t="s">
        <v>138</v>
      </c>
      <c r="L44" s="66">
        <v>11152</v>
      </c>
      <c r="M44" t="s">
        <v>309</v>
      </c>
    </row>
    <row r="45" spans="1:30">
      <c r="A45" s="56">
        <v>420</v>
      </c>
      <c r="B45" s="57" t="s">
        <v>139</v>
      </c>
      <c r="L45" s="66">
        <v>11153</v>
      </c>
      <c r="M45" t="s">
        <v>310</v>
      </c>
    </row>
    <row r="46" spans="1:30">
      <c r="A46" s="59">
        <v>421</v>
      </c>
      <c r="B46" s="60" t="s">
        <v>140</v>
      </c>
      <c r="L46" s="66">
        <v>11154</v>
      </c>
      <c r="M46" t="s">
        <v>311</v>
      </c>
    </row>
    <row r="47" spans="1:30">
      <c r="A47" s="59">
        <v>422</v>
      </c>
      <c r="B47" s="60" t="s">
        <v>141</v>
      </c>
      <c r="L47" s="66">
        <v>11155</v>
      </c>
      <c r="M47" t="s">
        <v>312</v>
      </c>
    </row>
    <row r="48" spans="1:30">
      <c r="A48" s="59">
        <v>423</v>
      </c>
      <c r="B48" s="60" t="s">
        <v>142</v>
      </c>
      <c r="L48" s="66">
        <v>11156</v>
      </c>
      <c r="M48" t="s">
        <v>313</v>
      </c>
    </row>
    <row r="49" spans="1:13">
      <c r="A49" s="56">
        <v>430</v>
      </c>
      <c r="B49" s="57" t="s">
        <v>143</v>
      </c>
      <c r="L49" s="66">
        <v>11157</v>
      </c>
      <c r="M49" t="s">
        <v>314</v>
      </c>
    </row>
    <row r="50" spans="1:13">
      <c r="A50" s="59">
        <v>431</v>
      </c>
      <c r="B50" s="60" t="s">
        <v>144</v>
      </c>
      <c r="L50" s="66">
        <v>11158</v>
      </c>
      <c r="M50" t="s">
        <v>315</v>
      </c>
    </row>
    <row r="51" spans="1:13">
      <c r="A51" s="59">
        <v>432</v>
      </c>
      <c r="B51" s="60" t="s">
        <v>145</v>
      </c>
      <c r="L51" s="66">
        <v>11159</v>
      </c>
      <c r="M51" t="s">
        <v>316</v>
      </c>
    </row>
    <row r="52" spans="1:13">
      <c r="A52" s="59">
        <v>433</v>
      </c>
      <c r="B52" s="60" t="s">
        <v>146</v>
      </c>
      <c r="L52" s="66">
        <v>11190</v>
      </c>
      <c r="M52" t="s">
        <v>317</v>
      </c>
    </row>
    <row r="53" spans="1:13">
      <c r="A53" s="59">
        <v>434</v>
      </c>
      <c r="B53" s="60" t="s">
        <v>147</v>
      </c>
      <c r="L53" s="66">
        <v>11191</v>
      </c>
      <c r="M53" t="s">
        <v>318</v>
      </c>
    </row>
    <row r="54" spans="1:13">
      <c r="A54" s="59">
        <v>435</v>
      </c>
      <c r="B54" s="60" t="s">
        <v>148</v>
      </c>
      <c r="L54" s="66">
        <v>11192</v>
      </c>
      <c r="M54" t="s">
        <v>319</v>
      </c>
    </row>
    <row r="55" spans="1:13">
      <c r="A55" s="59">
        <v>436</v>
      </c>
      <c r="B55" s="60" t="s">
        <v>149</v>
      </c>
      <c r="L55" s="66">
        <v>11193</v>
      </c>
      <c r="M55" t="s">
        <v>320</v>
      </c>
    </row>
    <row r="56" spans="1:13">
      <c r="A56" s="56">
        <v>440</v>
      </c>
      <c r="B56" s="57" t="s">
        <v>150</v>
      </c>
      <c r="L56" s="66">
        <v>11194</v>
      </c>
      <c r="M56" t="s">
        <v>321</v>
      </c>
    </row>
    <row r="57" spans="1:13">
      <c r="A57" s="59">
        <v>441</v>
      </c>
      <c r="B57" s="60" t="s">
        <v>151</v>
      </c>
      <c r="L57" s="66">
        <v>11195</v>
      </c>
      <c r="M57" t="s">
        <v>322</v>
      </c>
    </row>
    <row r="58" spans="1:13">
      <c r="A58" s="59">
        <v>442</v>
      </c>
      <c r="B58" s="60" t="s">
        <v>152</v>
      </c>
      <c r="L58" s="66">
        <v>11196</v>
      </c>
      <c r="M58" t="s">
        <v>323</v>
      </c>
    </row>
    <row r="59" spans="1:13">
      <c r="A59" s="59">
        <v>443</v>
      </c>
      <c r="B59" s="60" t="s">
        <v>153</v>
      </c>
      <c r="L59" s="66">
        <v>11197</v>
      </c>
      <c r="M59" t="s">
        <v>324</v>
      </c>
    </row>
    <row r="60" spans="1:13">
      <c r="A60" s="56">
        <v>450</v>
      </c>
      <c r="B60" s="57" t="s">
        <v>154</v>
      </c>
      <c r="L60" s="66">
        <v>11198</v>
      </c>
      <c r="M60" t="s">
        <v>325</v>
      </c>
    </row>
    <row r="61" spans="1:13">
      <c r="A61" s="59">
        <v>451</v>
      </c>
      <c r="B61" s="60" t="s">
        <v>155</v>
      </c>
      <c r="L61" s="66">
        <v>11199</v>
      </c>
      <c r="M61" t="s">
        <v>326</v>
      </c>
    </row>
    <row r="62" spans="1:13">
      <c r="A62" s="59">
        <v>452</v>
      </c>
      <c r="B62" s="60" t="s">
        <v>156</v>
      </c>
      <c r="L62" s="66">
        <v>11200</v>
      </c>
      <c r="M62" t="s">
        <v>327</v>
      </c>
    </row>
    <row r="63" spans="1:13">
      <c r="A63" s="59">
        <v>453</v>
      </c>
      <c r="B63" s="60" t="s">
        <v>157</v>
      </c>
      <c r="L63" s="66">
        <v>11210</v>
      </c>
      <c r="M63" t="s">
        <v>328</v>
      </c>
    </row>
    <row r="64" spans="1:13">
      <c r="A64" s="59">
        <v>454</v>
      </c>
      <c r="B64" s="60" t="s">
        <v>158</v>
      </c>
      <c r="L64" s="66">
        <v>11211</v>
      </c>
      <c r="M64" t="s">
        <v>329</v>
      </c>
    </row>
    <row r="65" spans="1:13">
      <c r="A65" s="59">
        <v>455</v>
      </c>
      <c r="B65" s="60" t="s">
        <v>159</v>
      </c>
      <c r="L65" s="66">
        <v>11212</v>
      </c>
      <c r="M65" t="s">
        <v>330</v>
      </c>
    </row>
    <row r="66" spans="1:13">
      <c r="A66" s="56">
        <v>460</v>
      </c>
      <c r="B66" s="57" t="s">
        <v>160</v>
      </c>
      <c r="L66" s="66">
        <v>11213</v>
      </c>
      <c r="M66" t="s">
        <v>331</v>
      </c>
    </row>
    <row r="67" spans="1:13">
      <c r="A67" s="56">
        <v>470</v>
      </c>
      <c r="B67" s="57" t="s">
        <v>161</v>
      </c>
      <c r="L67" s="66">
        <v>11215</v>
      </c>
      <c r="M67" t="s">
        <v>332</v>
      </c>
    </row>
    <row r="68" spans="1:13">
      <c r="A68" s="59">
        <v>471</v>
      </c>
      <c r="B68" s="60" t="s">
        <v>162</v>
      </c>
      <c r="L68" s="66">
        <v>11216</v>
      </c>
      <c r="M68" t="s">
        <v>333</v>
      </c>
    </row>
    <row r="69" spans="1:13">
      <c r="A69" s="59">
        <v>472</v>
      </c>
      <c r="B69" s="60" t="s">
        <v>163</v>
      </c>
      <c r="L69" s="66">
        <v>11217</v>
      </c>
      <c r="M69" t="s">
        <v>334</v>
      </c>
    </row>
    <row r="70" spans="1:13">
      <c r="A70" s="59">
        <v>473</v>
      </c>
      <c r="B70" s="60" t="s">
        <v>164</v>
      </c>
      <c r="L70" s="66">
        <v>11218</v>
      </c>
      <c r="M70" t="s">
        <v>335</v>
      </c>
    </row>
    <row r="71" spans="1:13">
      <c r="A71" s="59">
        <v>474</v>
      </c>
      <c r="B71" s="60" t="s">
        <v>165</v>
      </c>
      <c r="L71" s="66">
        <v>11219</v>
      </c>
      <c r="M71" t="s">
        <v>336</v>
      </c>
    </row>
    <row r="72" spans="1:13">
      <c r="A72" s="56">
        <v>480</v>
      </c>
      <c r="B72" s="57" t="s">
        <v>166</v>
      </c>
      <c r="L72" s="66">
        <v>11220</v>
      </c>
      <c r="M72" t="s">
        <v>337</v>
      </c>
    </row>
    <row r="73" spans="1:13">
      <c r="A73" s="59">
        <v>481</v>
      </c>
      <c r="B73" s="60" t="s">
        <v>167</v>
      </c>
      <c r="L73" s="66">
        <v>11221</v>
      </c>
      <c r="M73" t="s">
        <v>338</v>
      </c>
    </row>
    <row r="74" spans="1:13">
      <c r="A74" s="59">
        <v>482</v>
      </c>
      <c r="B74" s="60" t="s">
        <v>168</v>
      </c>
      <c r="L74" s="66">
        <v>11222</v>
      </c>
      <c r="M74" t="s">
        <v>339</v>
      </c>
    </row>
    <row r="75" spans="1:13">
      <c r="A75" s="59">
        <v>483</v>
      </c>
      <c r="B75" s="60" t="s">
        <v>169</v>
      </c>
      <c r="L75" s="66">
        <v>11223</v>
      </c>
      <c r="M75" t="s">
        <v>340</v>
      </c>
    </row>
    <row r="76" spans="1:13">
      <c r="A76" s="59">
        <v>484</v>
      </c>
      <c r="B76" s="60" t="s">
        <v>170</v>
      </c>
      <c r="L76" s="66">
        <v>11224</v>
      </c>
      <c r="M76" t="s">
        <v>341</v>
      </c>
    </row>
    <row r="77" spans="1:13">
      <c r="A77" s="59">
        <v>485</v>
      </c>
      <c r="B77" s="60" t="s">
        <v>171</v>
      </c>
      <c r="L77" s="66">
        <v>11225</v>
      </c>
      <c r="M77" t="s">
        <v>342</v>
      </c>
    </row>
    <row r="78" spans="1:13">
      <c r="A78" s="59">
        <v>486</v>
      </c>
      <c r="B78" s="60" t="s">
        <v>172</v>
      </c>
      <c r="L78" s="66">
        <v>11226</v>
      </c>
      <c r="M78" t="s">
        <v>343</v>
      </c>
    </row>
    <row r="79" spans="1:13">
      <c r="A79" s="59">
        <v>487</v>
      </c>
      <c r="B79" s="60" t="s">
        <v>173</v>
      </c>
      <c r="L79" s="66">
        <v>11227</v>
      </c>
      <c r="M79" t="s">
        <v>344</v>
      </c>
    </row>
    <row r="80" spans="1:13">
      <c r="A80" s="56">
        <v>490</v>
      </c>
      <c r="B80" s="57" t="s">
        <v>174</v>
      </c>
      <c r="L80" s="66">
        <v>11228</v>
      </c>
      <c r="M80" t="s">
        <v>345</v>
      </c>
    </row>
    <row r="81" spans="1:13">
      <c r="A81" s="53">
        <v>500</v>
      </c>
      <c r="B81" s="54" t="s">
        <v>175</v>
      </c>
      <c r="L81" s="66">
        <v>11229</v>
      </c>
      <c r="M81" t="s">
        <v>346</v>
      </c>
    </row>
    <row r="82" spans="1:13">
      <c r="A82" s="56">
        <v>510</v>
      </c>
      <c r="B82" s="57" t="s">
        <v>176</v>
      </c>
      <c r="L82" s="66">
        <v>11230</v>
      </c>
      <c r="M82" t="s">
        <v>347</v>
      </c>
    </row>
    <row r="83" spans="1:13">
      <c r="A83" s="56">
        <v>520</v>
      </c>
      <c r="B83" s="57" t="s">
        <v>177</v>
      </c>
      <c r="L83" s="66">
        <v>11231</v>
      </c>
      <c r="M83" t="s">
        <v>347</v>
      </c>
    </row>
    <row r="84" spans="1:13">
      <c r="A84" s="56">
        <v>530</v>
      </c>
      <c r="B84" s="57" t="s">
        <v>178</v>
      </c>
      <c r="L84" s="66">
        <v>11236</v>
      </c>
      <c r="M84" t="s">
        <v>348</v>
      </c>
    </row>
    <row r="85" spans="1:13">
      <c r="A85" s="56">
        <v>540</v>
      </c>
      <c r="B85" s="57" t="s">
        <v>179</v>
      </c>
      <c r="L85" s="66">
        <v>11237</v>
      </c>
      <c r="M85" t="s">
        <v>349</v>
      </c>
    </row>
    <row r="86" spans="1:13">
      <c r="A86" s="56">
        <v>550</v>
      </c>
      <c r="B86" s="57" t="s">
        <v>180</v>
      </c>
      <c r="L86" s="66">
        <v>11238</v>
      </c>
      <c r="M86" t="s">
        <v>350</v>
      </c>
    </row>
    <row r="87" spans="1:13">
      <c r="A87" s="56">
        <v>560</v>
      </c>
      <c r="B87" s="57" t="s">
        <v>181</v>
      </c>
      <c r="L87" s="66">
        <v>11239</v>
      </c>
      <c r="M87" t="s">
        <v>351</v>
      </c>
    </row>
    <row r="88" spans="1:13">
      <c r="A88" s="53">
        <v>600</v>
      </c>
      <c r="B88" s="54" t="s">
        <v>182</v>
      </c>
      <c r="L88" s="66">
        <v>11240</v>
      </c>
      <c r="M88" t="s">
        <v>352</v>
      </c>
    </row>
    <row r="89" spans="1:13">
      <c r="A89" s="56">
        <v>610</v>
      </c>
      <c r="B89" s="57" t="s">
        <v>183</v>
      </c>
      <c r="L89" s="66">
        <v>11241</v>
      </c>
      <c r="M89" t="s">
        <v>352</v>
      </c>
    </row>
    <row r="90" spans="1:13">
      <c r="A90" s="56">
        <v>620</v>
      </c>
      <c r="B90" s="57" t="s">
        <v>184</v>
      </c>
      <c r="L90" s="66">
        <v>11246</v>
      </c>
      <c r="M90" t="s">
        <v>353</v>
      </c>
    </row>
    <row r="91" spans="1:13">
      <c r="A91" s="56">
        <v>630</v>
      </c>
      <c r="B91" s="57" t="s">
        <v>185</v>
      </c>
      <c r="L91" s="66">
        <v>11247</v>
      </c>
      <c r="M91" t="s">
        <v>354</v>
      </c>
    </row>
    <row r="92" spans="1:13">
      <c r="A92" s="56">
        <v>640</v>
      </c>
      <c r="B92" s="57" t="s">
        <v>186</v>
      </c>
      <c r="L92" s="66">
        <v>11248</v>
      </c>
      <c r="M92" t="s">
        <v>355</v>
      </c>
    </row>
    <row r="93" spans="1:13">
      <c r="A93" s="56">
        <v>650</v>
      </c>
      <c r="B93" s="57" t="s">
        <v>187</v>
      </c>
      <c r="L93" s="66">
        <v>11249</v>
      </c>
      <c r="M93" t="s">
        <v>356</v>
      </c>
    </row>
    <row r="94" spans="1:13">
      <c r="A94" s="56">
        <v>660</v>
      </c>
      <c r="B94" s="57" t="s">
        <v>188</v>
      </c>
      <c r="L94" s="66">
        <v>11250</v>
      </c>
      <c r="M94" t="s">
        <v>357</v>
      </c>
    </row>
    <row r="95" spans="1:13">
      <c r="A95" s="53">
        <v>700</v>
      </c>
      <c r="B95" s="54" t="s">
        <v>189</v>
      </c>
      <c r="L95" s="66">
        <v>11251</v>
      </c>
      <c r="M95" t="s">
        <v>358</v>
      </c>
    </row>
    <row r="96" spans="1:13">
      <c r="A96" s="56">
        <v>710</v>
      </c>
      <c r="B96" s="57" t="s">
        <v>190</v>
      </c>
      <c r="L96" s="66">
        <v>11252</v>
      </c>
      <c r="M96" t="s">
        <v>359</v>
      </c>
    </row>
    <row r="97" spans="1:13">
      <c r="A97" s="59">
        <v>711</v>
      </c>
      <c r="B97" s="60" t="s">
        <v>191</v>
      </c>
      <c r="L97" s="66">
        <v>11253</v>
      </c>
      <c r="M97" t="s">
        <v>360</v>
      </c>
    </row>
    <row r="98" spans="1:13">
      <c r="A98" s="59">
        <v>712</v>
      </c>
      <c r="B98" s="60" t="s">
        <v>192</v>
      </c>
      <c r="L98" s="66">
        <v>11255</v>
      </c>
      <c r="M98" t="s">
        <v>361</v>
      </c>
    </row>
    <row r="99" spans="1:13">
      <c r="A99" s="59">
        <v>713</v>
      </c>
      <c r="B99" s="60" t="s">
        <v>193</v>
      </c>
      <c r="L99" s="66">
        <v>11256</v>
      </c>
      <c r="M99" t="s">
        <v>362</v>
      </c>
    </row>
    <row r="100" spans="1:13">
      <c r="A100" s="56">
        <v>720</v>
      </c>
      <c r="B100" s="57" t="s">
        <v>194</v>
      </c>
      <c r="L100" s="66">
        <v>11257</v>
      </c>
      <c r="M100" t="s">
        <v>363</v>
      </c>
    </row>
    <row r="101" spans="1:13">
      <c r="A101" s="59">
        <v>721</v>
      </c>
      <c r="B101" s="60" t="s">
        <v>195</v>
      </c>
      <c r="L101" s="66">
        <v>11258</v>
      </c>
      <c r="M101" t="s">
        <v>364</v>
      </c>
    </row>
    <row r="102" spans="1:13">
      <c r="A102" s="59">
        <v>722</v>
      </c>
      <c r="B102" s="60" t="s">
        <v>196</v>
      </c>
      <c r="L102" s="66">
        <v>11259</v>
      </c>
      <c r="M102" t="s">
        <v>365</v>
      </c>
    </row>
    <row r="103" spans="1:13">
      <c r="A103" s="59">
        <v>723</v>
      </c>
      <c r="B103" s="60" t="s">
        <v>197</v>
      </c>
      <c r="L103" s="66">
        <v>11260</v>
      </c>
      <c r="M103" t="s">
        <v>366</v>
      </c>
    </row>
    <row r="104" spans="1:13">
      <c r="A104" s="59">
        <v>724</v>
      </c>
      <c r="B104" s="60" t="s">
        <v>198</v>
      </c>
      <c r="L104" s="66">
        <v>11261</v>
      </c>
      <c r="M104" t="s">
        <v>367</v>
      </c>
    </row>
    <row r="105" spans="1:13">
      <c r="A105" s="56">
        <v>730</v>
      </c>
      <c r="B105" s="57" t="s">
        <v>199</v>
      </c>
      <c r="L105" s="66">
        <v>11262</v>
      </c>
      <c r="M105" t="s">
        <v>368</v>
      </c>
    </row>
    <row r="106" spans="1:13">
      <c r="A106" s="59">
        <v>731</v>
      </c>
      <c r="B106" s="60" t="s">
        <v>200</v>
      </c>
      <c r="L106" s="66">
        <v>11263</v>
      </c>
      <c r="M106" t="s">
        <v>369</v>
      </c>
    </row>
    <row r="107" spans="1:13">
      <c r="A107" s="59">
        <v>732</v>
      </c>
      <c r="B107" s="60" t="s">
        <v>201</v>
      </c>
      <c r="L107" s="66">
        <v>11264</v>
      </c>
      <c r="M107" t="s">
        <v>370</v>
      </c>
    </row>
    <row r="108" spans="1:13">
      <c r="A108" s="59">
        <v>733</v>
      </c>
      <c r="B108" s="60" t="s">
        <v>202</v>
      </c>
      <c r="L108" s="66">
        <v>11266</v>
      </c>
      <c r="M108" t="s">
        <v>371</v>
      </c>
    </row>
    <row r="109" spans="1:13">
      <c r="A109" s="59">
        <v>734</v>
      </c>
      <c r="B109" s="60" t="s">
        <v>203</v>
      </c>
      <c r="L109" s="66">
        <v>11267</v>
      </c>
      <c r="M109" t="s">
        <v>372</v>
      </c>
    </row>
    <row r="110" spans="1:13">
      <c r="A110" s="56">
        <v>740</v>
      </c>
      <c r="B110" s="57" t="s">
        <v>204</v>
      </c>
      <c r="L110" s="66">
        <v>11268</v>
      </c>
      <c r="M110" t="s">
        <v>373</v>
      </c>
    </row>
    <row r="111" spans="1:13">
      <c r="A111" s="56">
        <v>750</v>
      </c>
      <c r="B111" s="57" t="s">
        <v>205</v>
      </c>
      <c r="L111" s="66">
        <v>11269</v>
      </c>
      <c r="M111" t="s">
        <v>374</v>
      </c>
    </row>
    <row r="112" spans="1:13">
      <c r="A112" s="56">
        <v>760</v>
      </c>
      <c r="B112" s="57" t="s">
        <v>206</v>
      </c>
      <c r="L112" s="66">
        <v>11270</v>
      </c>
      <c r="M112" t="s">
        <v>375</v>
      </c>
    </row>
    <row r="113" spans="1:13">
      <c r="A113" s="53">
        <v>800</v>
      </c>
      <c r="B113" s="54" t="s">
        <v>207</v>
      </c>
      <c r="L113" s="66">
        <v>11271</v>
      </c>
      <c r="M113" t="s">
        <v>375</v>
      </c>
    </row>
    <row r="114" spans="1:13">
      <c r="A114" s="56">
        <v>810</v>
      </c>
      <c r="B114" s="57" t="s">
        <v>208</v>
      </c>
      <c r="L114" s="66">
        <v>11276</v>
      </c>
      <c r="M114" t="s">
        <v>376</v>
      </c>
    </row>
    <row r="115" spans="1:13">
      <c r="A115" s="56">
        <v>820</v>
      </c>
      <c r="B115" s="57" t="s">
        <v>209</v>
      </c>
      <c r="L115" s="66">
        <v>11277</v>
      </c>
      <c r="M115" t="s">
        <v>377</v>
      </c>
    </row>
    <row r="116" spans="1:13">
      <c r="A116" s="56">
        <v>830</v>
      </c>
      <c r="B116" s="57" t="s">
        <v>210</v>
      </c>
      <c r="L116" s="66">
        <v>11278</v>
      </c>
      <c r="M116" t="s">
        <v>378</v>
      </c>
    </row>
    <row r="117" spans="1:13">
      <c r="A117" s="56">
        <v>840</v>
      </c>
      <c r="B117" s="57" t="s">
        <v>211</v>
      </c>
      <c r="L117" s="66">
        <v>11279</v>
      </c>
      <c r="M117" t="s">
        <v>379</v>
      </c>
    </row>
    <row r="118" spans="1:13">
      <c r="A118" s="56">
        <v>850</v>
      </c>
      <c r="B118" s="57" t="s">
        <v>212</v>
      </c>
      <c r="L118" s="66">
        <v>11280</v>
      </c>
      <c r="M118" t="s">
        <v>380</v>
      </c>
    </row>
    <row r="119" spans="1:13">
      <c r="A119" s="56">
        <v>860</v>
      </c>
      <c r="B119" s="57" t="s">
        <v>213</v>
      </c>
      <c r="L119" s="66">
        <v>11281</v>
      </c>
      <c r="M119" t="s">
        <v>380</v>
      </c>
    </row>
    <row r="120" spans="1:13">
      <c r="A120" s="53">
        <v>900</v>
      </c>
      <c r="B120" s="54" t="s">
        <v>214</v>
      </c>
      <c r="L120" s="66">
        <v>11286</v>
      </c>
      <c r="M120" t="s">
        <v>381</v>
      </c>
    </row>
    <row r="121" spans="1:13">
      <c r="A121" s="56">
        <v>910</v>
      </c>
      <c r="B121" s="57" t="s">
        <v>215</v>
      </c>
      <c r="L121" s="66">
        <v>11287</v>
      </c>
      <c r="M121" t="s">
        <v>382</v>
      </c>
    </row>
    <row r="122" spans="1:13">
      <c r="A122" s="59">
        <v>911</v>
      </c>
      <c r="B122" s="60" t="s">
        <v>216</v>
      </c>
      <c r="L122" s="66">
        <v>11288</v>
      </c>
      <c r="M122" t="s">
        <v>383</v>
      </c>
    </row>
    <row r="123" spans="1:13">
      <c r="A123" s="59">
        <v>912</v>
      </c>
      <c r="B123" s="60" t="s">
        <v>217</v>
      </c>
      <c r="L123" s="66">
        <v>11289</v>
      </c>
      <c r="M123" t="s">
        <v>384</v>
      </c>
    </row>
    <row r="124" spans="1:13">
      <c r="A124" s="59">
        <v>913</v>
      </c>
      <c r="B124" s="60" t="s">
        <v>218</v>
      </c>
      <c r="L124" s="66">
        <v>11290</v>
      </c>
      <c r="M124" t="s">
        <v>385</v>
      </c>
    </row>
    <row r="125" spans="1:13">
      <c r="A125" s="59">
        <v>914</v>
      </c>
      <c r="B125" s="60" t="s">
        <v>219</v>
      </c>
      <c r="L125" s="66">
        <v>11291</v>
      </c>
      <c r="M125" t="s">
        <v>386</v>
      </c>
    </row>
    <row r="126" spans="1:13">
      <c r="A126" s="59">
        <v>915</v>
      </c>
      <c r="B126" s="60" t="s">
        <v>220</v>
      </c>
      <c r="L126" s="66">
        <v>11292</v>
      </c>
      <c r="M126" t="s">
        <v>387</v>
      </c>
    </row>
    <row r="127" spans="1:13">
      <c r="A127" s="59">
        <v>916</v>
      </c>
      <c r="B127" s="60" t="s">
        <v>221</v>
      </c>
      <c r="L127" s="66">
        <v>11293</v>
      </c>
      <c r="M127" t="s">
        <v>388</v>
      </c>
    </row>
    <row r="128" spans="1:13">
      <c r="A128" s="56">
        <v>920</v>
      </c>
      <c r="B128" s="57" t="s">
        <v>222</v>
      </c>
      <c r="L128" s="66">
        <v>11294</v>
      </c>
      <c r="M128" t="s">
        <v>389</v>
      </c>
    </row>
    <row r="129" spans="1:13">
      <c r="A129" s="59">
        <v>921</v>
      </c>
      <c r="B129" s="60" t="s">
        <v>223</v>
      </c>
      <c r="L129" s="66">
        <v>11296</v>
      </c>
      <c r="M129" t="s">
        <v>390</v>
      </c>
    </row>
    <row r="130" spans="1:13">
      <c r="A130" s="59">
        <v>922</v>
      </c>
      <c r="B130" s="60" t="s">
        <v>224</v>
      </c>
      <c r="L130" s="66">
        <v>11297</v>
      </c>
      <c r="M130" t="s">
        <v>391</v>
      </c>
    </row>
    <row r="131" spans="1:13">
      <c r="A131" s="59">
        <v>923</v>
      </c>
      <c r="B131" s="60" t="s">
        <v>225</v>
      </c>
      <c r="L131" s="66">
        <v>11298</v>
      </c>
      <c r="M131" t="s">
        <v>392</v>
      </c>
    </row>
    <row r="132" spans="1:13">
      <c r="A132" s="56">
        <v>930</v>
      </c>
      <c r="B132" s="57" t="s">
        <v>226</v>
      </c>
      <c r="L132" s="66">
        <v>11299</v>
      </c>
      <c r="M132" t="s">
        <v>393</v>
      </c>
    </row>
    <row r="133" spans="1:13">
      <c r="A133" s="59">
        <v>931</v>
      </c>
      <c r="B133" s="60" t="s">
        <v>226</v>
      </c>
      <c r="L133" s="66">
        <v>11300</v>
      </c>
      <c r="M133" t="s">
        <v>394</v>
      </c>
    </row>
    <row r="134" spans="1:13">
      <c r="A134" s="59">
        <v>932</v>
      </c>
      <c r="B134" s="60" t="s">
        <v>227</v>
      </c>
      <c r="L134" s="66">
        <v>11310</v>
      </c>
      <c r="M134" t="s">
        <v>394</v>
      </c>
    </row>
    <row r="135" spans="1:13">
      <c r="A135" s="56">
        <v>940</v>
      </c>
      <c r="B135" s="57" t="s">
        <v>228</v>
      </c>
      <c r="L135" s="66">
        <v>11311</v>
      </c>
      <c r="M135" t="s">
        <v>394</v>
      </c>
    </row>
    <row r="136" spans="1:13">
      <c r="A136" s="59">
        <v>941</v>
      </c>
      <c r="B136" s="60" t="s">
        <v>229</v>
      </c>
      <c r="L136" s="66">
        <v>11316</v>
      </c>
      <c r="M136" t="s">
        <v>395</v>
      </c>
    </row>
    <row r="137" spans="1:13">
      <c r="A137" s="59">
        <v>942</v>
      </c>
      <c r="B137" s="60" t="s">
        <v>230</v>
      </c>
      <c r="L137" s="66">
        <v>11317</v>
      </c>
      <c r="M137" t="s">
        <v>396</v>
      </c>
    </row>
    <row r="138" spans="1:13">
      <c r="A138" s="56">
        <v>950</v>
      </c>
      <c r="B138" s="57" t="s">
        <v>231</v>
      </c>
      <c r="L138" s="66">
        <v>11318</v>
      </c>
      <c r="M138" t="s">
        <v>397</v>
      </c>
    </row>
    <row r="139" spans="1:13">
      <c r="A139" s="56">
        <v>960</v>
      </c>
      <c r="B139" s="57" t="s">
        <v>232</v>
      </c>
      <c r="L139" s="66">
        <v>11319</v>
      </c>
      <c r="M139" t="s">
        <v>398</v>
      </c>
    </row>
    <row r="140" spans="1:13">
      <c r="A140" s="56">
        <v>970</v>
      </c>
      <c r="B140" s="57" t="s">
        <v>233</v>
      </c>
      <c r="L140" s="66">
        <v>12000</v>
      </c>
      <c r="M140" t="s">
        <v>399</v>
      </c>
    </row>
    <row r="141" spans="1:13">
      <c r="A141" s="56">
        <v>980</v>
      </c>
      <c r="B141" s="57" t="s">
        <v>234</v>
      </c>
      <c r="L141" s="66">
        <v>12100</v>
      </c>
      <c r="M141" t="s">
        <v>399</v>
      </c>
    </row>
    <row r="142" spans="1:13">
      <c r="L142" s="66">
        <v>12110</v>
      </c>
      <c r="M142" t="s">
        <v>399</v>
      </c>
    </row>
    <row r="143" spans="1:13">
      <c r="L143" s="66">
        <v>12111</v>
      </c>
      <c r="M143" t="s">
        <v>400</v>
      </c>
    </row>
    <row r="144" spans="1:13">
      <c r="L144" s="66">
        <v>12112</v>
      </c>
      <c r="M144" t="s">
        <v>401</v>
      </c>
    </row>
    <row r="145" spans="12:13">
      <c r="L145" s="66">
        <v>12117</v>
      </c>
      <c r="M145" t="s">
        <v>402</v>
      </c>
    </row>
    <row r="146" spans="12:13">
      <c r="L146" s="66">
        <v>12118</v>
      </c>
      <c r="M146" t="s">
        <v>403</v>
      </c>
    </row>
    <row r="147" spans="12:13">
      <c r="L147" s="66">
        <v>12119</v>
      </c>
      <c r="M147" t="s">
        <v>404</v>
      </c>
    </row>
    <row r="148" spans="12:13">
      <c r="L148" s="66">
        <v>13000</v>
      </c>
      <c r="M148" t="s">
        <v>405</v>
      </c>
    </row>
    <row r="149" spans="12:13">
      <c r="L149" s="66">
        <v>13100</v>
      </c>
      <c r="M149" t="s">
        <v>405</v>
      </c>
    </row>
    <row r="150" spans="12:13">
      <c r="L150" s="66">
        <v>13110</v>
      </c>
      <c r="M150" t="s">
        <v>405</v>
      </c>
    </row>
    <row r="151" spans="12:13">
      <c r="L151" s="66">
        <v>13111</v>
      </c>
      <c r="M151" t="s">
        <v>406</v>
      </c>
    </row>
    <row r="152" spans="12:13">
      <c r="L152" s="66">
        <v>13112</v>
      </c>
      <c r="M152" t="s">
        <v>407</v>
      </c>
    </row>
    <row r="153" spans="12:13">
      <c r="L153" s="66">
        <v>13113</v>
      </c>
      <c r="M153" t="s">
        <v>408</v>
      </c>
    </row>
    <row r="154" spans="12:13">
      <c r="L154" s="66">
        <v>13114</v>
      </c>
      <c r="M154" t="s">
        <v>409</v>
      </c>
    </row>
    <row r="155" spans="12:13">
      <c r="L155" s="66">
        <v>13115</v>
      </c>
      <c r="M155" t="s">
        <v>410</v>
      </c>
    </row>
    <row r="156" spans="12:13">
      <c r="L156" s="66">
        <v>13117</v>
      </c>
      <c r="M156" t="s">
        <v>411</v>
      </c>
    </row>
    <row r="157" spans="12:13">
      <c r="L157" s="66">
        <v>13118</v>
      </c>
      <c r="M157" t="s">
        <v>412</v>
      </c>
    </row>
    <row r="158" spans="12:13">
      <c r="L158" s="66">
        <v>13119</v>
      </c>
      <c r="M158" t="s">
        <v>413</v>
      </c>
    </row>
    <row r="159" spans="12:13">
      <c r="L159" s="66">
        <v>14000</v>
      </c>
      <c r="M159" t="s">
        <v>414</v>
      </c>
    </row>
    <row r="160" spans="12:13">
      <c r="L160" s="66">
        <v>14100</v>
      </c>
      <c r="M160" t="s">
        <v>415</v>
      </c>
    </row>
    <row r="161" spans="12:13">
      <c r="L161" s="66">
        <v>14110</v>
      </c>
      <c r="M161" t="s">
        <v>415</v>
      </c>
    </row>
    <row r="162" spans="12:13">
      <c r="L162" s="66">
        <v>14111</v>
      </c>
      <c r="M162" t="s">
        <v>416</v>
      </c>
    </row>
    <row r="163" spans="12:13">
      <c r="L163" s="66">
        <v>14112</v>
      </c>
      <c r="M163" t="s">
        <v>417</v>
      </c>
    </row>
    <row r="164" spans="12:13">
      <c r="L164" s="66">
        <v>14113</v>
      </c>
      <c r="M164" t="s">
        <v>418</v>
      </c>
    </row>
    <row r="165" spans="12:13">
      <c r="L165" s="66">
        <v>14114</v>
      </c>
      <c r="M165" t="s">
        <v>419</v>
      </c>
    </row>
    <row r="166" spans="12:13">
      <c r="L166" s="66">
        <v>14115</v>
      </c>
      <c r="M166" t="s">
        <v>420</v>
      </c>
    </row>
    <row r="167" spans="12:13">
      <c r="L167" s="66">
        <v>14117</v>
      </c>
      <c r="M167" t="s">
        <v>421</v>
      </c>
    </row>
    <row r="168" spans="12:13">
      <c r="L168" s="66">
        <v>14118</v>
      </c>
      <c r="M168" t="s">
        <v>422</v>
      </c>
    </row>
    <row r="169" spans="12:13">
      <c r="L169" s="66">
        <v>14119</v>
      </c>
      <c r="M169" t="s">
        <v>423</v>
      </c>
    </row>
    <row r="170" spans="12:13">
      <c r="L170" s="66">
        <v>14200</v>
      </c>
      <c r="M170" t="s">
        <v>424</v>
      </c>
    </row>
    <row r="171" spans="12:13">
      <c r="L171" s="66">
        <v>14210</v>
      </c>
      <c r="M171" t="s">
        <v>424</v>
      </c>
    </row>
    <row r="172" spans="12:13">
      <c r="L172" s="66">
        <v>14211</v>
      </c>
      <c r="M172" t="s">
        <v>425</v>
      </c>
    </row>
    <row r="173" spans="12:13">
      <c r="L173" s="66">
        <v>14212</v>
      </c>
      <c r="M173" t="s">
        <v>426</v>
      </c>
    </row>
    <row r="174" spans="12:13">
      <c r="L174" s="66">
        <v>14213</v>
      </c>
      <c r="M174" t="s">
        <v>427</v>
      </c>
    </row>
    <row r="175" spans="12:13">
      <c r="L175" s="66">
        <v>14217</v>
      </c>
      <c r="M175" t="s">
        <v>428</v>
      </c>
    </row>
    <row r="176" spans="12:13">
      <c r="L176" s="66">
        <v>14218</v>
      </c>
      <c r="M176" t="s">
        <v>429</v>
      </c>
    </row>
    <row r="177" spans="12:13">
      <c r="L177" s="66">
        <v>14219</v>
      </c>
      <c r="M177" t="s">
        <v>430</v>
      </c>
    </row>
    <row r="178" spans="12:13">
      <c r="L178" s="66">
        <v>14300</v>
      </c>
      <c r="M178" t="s">
        <v>431</v>
      </c>
    </row>
    <row r="179" spans="12:13">
      <c r="L179" s="66">
        <v>14310</v>
      </c>
      <c r="M179" t="s">
        <v>432</v>
      </c>
    </row>
    <row r="180" spans="12:13">
      <c r="L180" s="66">
        <v>14311</v>
      </c>
      <c r="M180" t="s">
        <v>432</v>
      </c>
    </row>
    <row r="181" spans="12:13">
      <c r="L181" s="66">
        <v>14317</v>
      </c>
      <c r="M181" t="s">
        <v>433</v>
      </c>
    </row>
    <row r="182" spans="12:13">
      <c r="L182" s="66">
        <v>14318</v>
      </c>
      <c r="M182" t="s">
        <v>434</v>
      </c>
    </row>
    <row r="183" spans="12:13">
      <c r="L183" s="66">
        <v>14319</v>
      </c>
      <c r="M183" t="s">
        <v>435</v>
      </c>
    </row>
    <row r="184" spans="12:13">
      <c r="L184" s="66">
        <v>14320</v>
      </c>
      <c r="M184" t="s">
        <v>436</v>
      </c>
    </row>
    <row r="185" spans="12:13">
      <c r="L185" s="66">
        <v>14321</v>
      </c>
      <c r="M185" t="s">
        <v>436</v>
      </c>
    </row>
    <row r="186" spans="12:13">
      <c r="L186" s="66">
        <v>14327</v>
      </c>
      <c r="M186" t="s">
        <v>437</v>
      </c>
    </row>
    <row r="187" spans="12:13">
      <c r="L187" s="66">
        <v>14328</v>
      </c>
      <c r="M187" t="s">
        <v>438</v>
      </c>
    </row>
    <row r="188" spans="12:13">
      <c r="L188" s="66">
        <v>14329</v>
      </c>
      <c r="M188" t="s">
        <v>439</v>
      </c>
    </row>
    <row r="189" spans="12:13">
      <c r="L189" s="66">
        <v>15000</v>
      </c>
      <c r="M189" t="s">
        <v>440</v>
      </c>
    </row>
    <row r="190" spans="12:13">
      <c r="L190" s="66">
        <v>15100</v>
      </c>
      <c r="M190" t="s">
        <v>441</v>
      </c>
    </row>
    <row r="191" spans="12:13">
      <c r="L191" s="66">
        <v>15110</v>
      </c>
      <c r="M191" t="s">
        <v>442</v>
      </c>
    </row>
    <row r="192" spans="12:13">
      <c r="L192" s="66">
        <v>15111</v>
      </c>
      <c r="M192" t="s">
        <v>443</v>
      </c>
    </row>
    <row r="193" spans="12:13">
      <c r="L193" s="66">
        <v>15112</v>
      </c>
      <c r="M193" t="s">
        <v>444</v>
      </c>
    </row>
    <row r="194" spans="12:13">
      <c r="L194" s="66">
        <v>15113</v>
      </c>
      <c r="M194" t="s">
        <v>445</v>
      </c>
    </row>
    <row r="195" spans="12:13">
      <c r="L195" s="66">
        <v>15114</v>
      </c>
      <c r="M195" t="s">
        <v>446</v>
      </c>
    </row>
    <row r="196" spans="12:13">
      <c r="L196" s="66">
        <v>15115</v>
      </c>
      <c r="M196" t="s">
        <v>447</v>
      </c>
    </row>
    <row r="197" spans="12:13">
      <c r="L197" s="66">
        <v>15120</v>
      </c>
      <c r="M197" t="s">
        <v>448</v>
      </c>
    </row>
    <row r="198" spans="12:13">
      <c r="L198" s="66">
        <v>15121</v>
      </c>
      <c r="M198" t="s">
        <v>449</v>
      </c>
    </row>
    <row r="199" spans="12:13">
      <c r="L199" s="66">
        <v>15122</v>
      </c>
      <c r="M199" t="s">
        <v>450</v>
      </c>
    </row>
    <row r="200" spans="12:13">
      <c r="L200" s="66">
        <v>15123</v>
      </c>
      <c r="M200" t="s">
        <v>451</v>
      </c>
    </row>
    <row r="201" spans="12:13">
      <c r="L201" s="66">
        <v>15124</v>
      </c>
      <c r="M201" t="s">
        <v>452</v>
      </c>
    </row>
    <row r="202" spans="12:13">
      <c r="L202" s="66">
        <v>15125</v>
      </c>
      <c r="M202" t="s">
        <v>453</v>
      </c>
    </row>
    <row r="203" spans="12:13">
      <c r="L203" s="66">
        <v>15126</v>
      </c>
      <c r="M203" t="s">
        <v>454</v>
      </c>
    </row>
    <row r="204" spans="12:13">
      <c r="L204" s="66">
        <v>15127</v>
      </c>
      <c r="M204" t="s">
        <v>455</v>
      </c>
    </row>
    <row r="205" spans="12:13">
      <c r="L205" s="66">
        <v>15128</v>
      </c>
      <c r="M205" t="s">
        <v>456</v>
      </c>
    </row>
    <row r="206" spans="12:13">
      <c r="L206" s="66">
        <v>15129</v>
      </c>
      <c r="M206" t="s">
        <v>457</v>
      </c>
    </row>
    <row r="207" spans="12:13">
      <c r="L207" s="66">
        <v>15130</v>
      </c>
      <c r="M207" t="s">
        <v>458</v>
      </c>
    </row>
    <row r="208" spans="12:13">
      <c r="L208" s="66">
        <v>15131</v>
      </c>
      <c r="M208" t="s">
        <v>458</v>
      </c>
    </row>
    <row r="209" spans="12:13">
      <c r="L209" s="66">
        <v>15140</v>
      </c>
      <c r="M209" t="s">
        <v>459</v>
      </c>
    </row>
    <row r="210" spans="12:13">
      <c r="L210" s="66">
        <v>15141</v>
      </c>
      <c r="M210" t="s">
        <v>459</v>
      </c>
    </row>
    <row r="211" spans="12:13">
      <c r="L211" s="66">
        <v>15150</v>
      </c>
      <c r="M211" t="s">
        <v>460</v>
      </c>
    </row>
    <row r="212" spans="12:13">
      <c r="L212" s="66">
        <v>15151</v>
      </c>
      <c r="M212" t="s">
        <v>460</v>
      </c>
    </row>
    <row r="213" spans="12:13">
      <c r="L213" s="66">
        <v>15160</v>
      </c>
      <c r="M213" t="s">
        <v>461</v>
      </c>
    </row>
    <row r="214" spans="12:13">
      <c r="L214" s="66">
        <v>15161</v>
      </c>
      <c r="M214" t="s">
        <v>461</v>
      </c>
    </row>
    <row r="215" spans="12:13">
      <c r="L215" s="66">
        <v>15170</v>
      </c>
      <c r="M215" t="s">
        <v>462</v>
      </c>
    </row>
    <row r="216" spans="12:13">
      <c r="L216" s="66">
        <v>15171</v>
      </c>
      <c r="M216" t="s">
        <v>462</v>
      </c>
    </row>
    <row r="217" spans="12:13">
      <c r="L217" s="66">
        <v>15180</v>
      </c>
      <c r="M217" t="s">
        <v>463</v>
      </c>
    </row>
    <row r="218" spans="12:13">
      <c r="L218" s="66">
        <v>15181</v>
      </c>
      <c r="M218" t="s">
        <v>464</v>
      </c>
    </row>
    <row r="219" spans="12:13">
      <c r="L219" s="66">
        <v>15182</v>
      </c>
      <c r="M219" t="s">
        <v>465</v>
      </c>
    </row>
    <row r="220" spans="12:13">
      <c r="L220" s="66">
        <v>15200</v>
      </c>
      <c r="M220" t="s">
        <v>466</v>
      </c>
    </row>
    <row r="221" spans="12:13">
      <c r="L221" s="66">
        <v>15210</v>
      </c>
      <c r="M221" t="s">
        <v>467</v>
      </c>
    </row>
    <row r="222" spans="12:13">
      <c r="L222" s="66">
        <v>15211</v>
      </c>
      <c r="M222" t="s">
        <v>468</v>
      </c>
    </row>
    <row r="223" spans="12:13">
      <c r="L223" s="66">
        <v>15212</v>
      </c>
      <c r="M223" t="s">
        <v>469</v>
      </c>
    </row>
    <row r="224" spans="12:13">
      <c r="L224" s="66">
        <v>15213</v>
      </c>
      <c r="M224" t="s">
        <v>470</v>
      </c>
    </row>
    <row r="225" spans="12:13">
      <c r="L225" s="66">
        <v>15214</v>
      </c>
      <c r="M225" t="s">
        <v>471</v>
      </c>
    </row>
    <row r="226" spans="12:13">
      <c r="L226" s="66">
        <v>15215</v>
      </c>
      <c r="M226" t="s">
        <v>472</v>
      </c>
    </row>
    <row r="227" spans="12:13">
      <c r="L227" s="66">
        <v>15220</v>
      </c>
      <c r="M227" t="s">
        <v>473</v>
      </c>
    </row>
    <row r="228" spans="12:13">
      <c r="L228" s="66">
        <v>15221</v>
      </c>
      <c r="M228" t="s">
        <v>474</v>
      </c>
    </row>
    <row r="229" spans="12:13">
      <c r="L229" s="66">
        <v>15222</v>
      </c>
      <c r="M229" t="s">
        <v>475</v>
      </c>
    </row>
    <row r="230" spans="12:13">
      <c r="L230" s="66">
        <v>15223</v>
      </c>
      <c r="M230" t="s">
        <v>476</v>
      </c>
    </row>
    <row r="231" spans="12:13">
      <c r="L231" s="66">
        <v>15224</v>
      </c>
      <c r="M231" t="s">
        <v>477</v>
      </c>
    </row>
    <row r="232" spans="12:13">
      <c r="L232" s="66">
        <v>15225</v>
      </c>
      <c r="M232" t="s">
        <v>478</v>
      </c>
    </row>
    <row r="233" spans="12:13">
      <c r="L233" s="66">
        <v>15226</v>
      </c>
      <c r="M233" t="s">
        <v>479</v>
      </c>
    </row>
    <row r="234" spans="12:13">
      <c r="L234" s="66">
        <v>15227</v>
      </c>
      <c r="M234" t="s">
        <v>480</v>
      </c>
    </row>
    <row r="235" spans="12:13">
      <c r="L235" s="66">
        <v>15228</v>
      </c>
      <c r="M235" t="s">
        <v>481</v>
      </c>
    </row>
    <row r="236" spans="12:13">
      <c r="L236" s="66">
        <v>15229</v>
      </c>
      <c r="M236" t="s">
        <v>482</v>
      </c>
    </row>
    <row r="237" spans="12:13">
      <c r="L237" s="66">
        <v>15230</v>
      </c>
      <c r="M237" t="s">
        <v>483</v>
      </c>
    </row>
    <row r="238" spans="12:13">
      <c r="L238" s="66">
        <v>15231</v>
      </c>
      <c r="M238" t="s">
        <v>483</v>
      </c>
    </row>
    <row r="239" spans="12:13">
      <c r="L239" s="66">
        <v>15240</v>
      </c>
      <c r="M239" t="s">
        <v>484</v>
      </c>
    </row>
    <row r="240" spans="12:13">
      <c r="L240" s="66">
        <v>15241</v>
      </c>
      <c r="M240" t="s">
        <v>484</v>
      </c>
    </row>
    <row r="241" spans="12:13">
      <c r="L241" s="66">
        <v>15250</v>
      </c>
      <c r="M241" t="s">
        <v>485</v>
      </c>
    </row>
    <row r="242" spans="12:13">
      <c r="L242" s="66">
        <v>15251</v>
      </c>
      <c r="M242" t="s">
        <v>485</v>
      </c>
    </row>
    <row r="243" spans="12:13">
      <c r="L243" s="66">
        <v>15260</v>
      </c>
      <c r="M243" t="s">
        <v>486</v>
      </c>
    </row>
    <row r="244" spans="12:13">
      <c r="L244" s="66">
        <v>15261</v>
      </c>
      <c r="M244" t="s">
        <v>486</v>
      </c>
    </row>
    <row r="245" spans="12:13">
      <c r="L245" s="66">
        <v>15270</v>
      </c>
      <c r="M245" t="s">
        <v>487</v>
      </c>
    </row>
    <row r="246" spans="12:13">
      <c r="L246" s="66">
        <v>15271</v>
      </c>
      <c r="M246" t="s">
        <v>487</v>
      </c>
    </row>
    <row r="247" spans="12:13">
      <c r="L247" s="66">
        <v>15280</v>
      </c>
      <c r="M247" t="s">
        <v>488</v>
      </c>
    </row>
    <row r="248" spans="12:13">
      <c r="L248" s="66">
        <v>15281</v>
      </c>
      <c r="M248" t="s">
        <v>489</v>
      </c>
    </row>
    <row r="249" spans="12:13">
      <c r="L249" s="66">
        <v>15282</v>
      </c>
      <c r="M249" t="s">
        <v>490</v>
      </c>
    </row>
    <row r="250" spans="12:13">
      <c r="L250" s="66">
        <v>16000</v>
      </c>
      <c r="M250" t="s">
        <v>491</v>
      </c>
    </row>
    <row r="251" spans="12:13">
      <c r="L251" s="66">
        <v>16100</v>
      </c>
      <c r="M251" t="s">
        <v>491</v>
      </c>
    </row>
    <row r="252" spans="12:13">
      <c r="L252" s="66">
        <v>16110</v>
      </c>
      <c r="M252" t="s">
        <v>492</v>
      </c>
    </row>
    <row r="253" spans="12:13">
      <c r="L253" s="66">
        <v>16111</v>
      </c>
      <c r="M253" t="s">
        <v>492</v>
      </c>
    </row>
    <row r="254" spans="12:13">
      <c r="L254" s="66">
        <v>16117</v>
      </c>
      <c r="M254" t="s">
        <v>493</v>
      </c>
    </row>
    <row r="255" spans="12:13">
      <c r="L255" s="66">
        <v>16118</v>
      </c>
      <c r="M255" t="s">
        <v>494</v>
      </c>
    </row>
    <row r="256" spans="12:13">
      <c r="L256" s="66">
        <v>16119</v>
      </c>
      <c r="M256" t="s">
        <v>495</v>
      </c>
    </row>
    <row r="257" spans="12:13">
      <c r="L257" s="66">
        <v>16120</v>
      </c>
      <c r="M257" t="s">
        <v>496</v>
      </c>
    </row>
    <row r="258" spans="12:13">
      <c r="L258" s="66">
        <v>16121</v>
      </c>
      <c r="M258" t="s">
        <v>496</v>
      </c>
    </row>
    <row r="259" spans="12:13">
      <c r="L259" s="66">
        <v>16127</v>
      </c>
      <c r="M259" t="s">
        <v>497</v>
      </c>
    </row>
    <row r="260" spans="12:13">
      <c r="L260" s="66">
        <v>16128</v>
      </c>
      <c r="M260" t="s">
        <v>498</v>
      </c>
    </row>
    <row r="261" spans="12:13">
      <c r="L261" s="66">
        <v>16129</v>
      </c>
      <c r="M261" t="s">
        <v>499</v>
      </c>
    </row>
    <row r="262" spans="12:13">
      <c r="L262" s="66">
        <v>16130</v>
      </c>
      <c r="M262" t="s">
        <v>500</v>
      </c>
    </row>
    <row r="263" spans="12:13">
      <c r="L263" s="66">
        <v>16131</v>
      </c>
      <c r="M263" t="s">
        <v>500</v>
      </c>
    </row>
    <row r="264" spans="12:13">
      <c r="L264" s="66">
        <v>16137</v>
      </c>
      <c r="M264" t="s">
        <v>501</v>
      </c>
    </row>
    <row r="265" spans="12:13">
      <c r="L265" s="66">
        <v>16138</v>
      </c>
      <c r="M265" t="s">
        <v>502</v>
      </c>
    </row>
    <row r="266" spans="12:13">
      <c r="L266" s="66">
        <v>16139</v>
      </c>
      <c r="M266" t="s">
        <v>503</v>
      </c>
    </row>
    <row r="267" spans="12:13">
      <c r="L267" s="66">
        <v>16140</v>
      </c>
      <c r="M267" t="s">
        <v>504</v>
      </c>
    </row>
    <row r="268" spans="12:13">
      <c r="L268" s="66">
        <v>16141</v>
      </c>
      <c r="M268" t="s">
        <v>504</v>
      </c>
    </row>
    <row r="269" spans="12:13">
      <c r="L269" s="66">
        <v>16147</v>
      </c>
      <c r="M269" t="s">
        <v>505</v>
      </c>
    </row>
    <row r="270" spans="12:13">
      <c r="L270" s="66">
        <v>16148</v>
      </c>
      <c r="M270" t="s">
        <v>506</v>
      </c>
    </row>
    <row r="271" spans="12:13">
      <c r="L271" s="66">
        <v>16149</v>
      </c>
      <c r="M271" t="s">
        <v>507</v>
      </c>
    </row>
    <row r="272" spans="12:13">
      <c r="L272" s="66">
        <v>16150</v>
      </c>
      <c r="M272" t="s">
        <v>508</v>
      </c>
    </row>
    <row r="273" spans="12:13">
      <c r="L273" s="66">
        <v>16151</v>
      </c>
      <c r="M273" t="s">
        <v>508</v>
      </c>
    </row>
    <row r="274" spans="12:13">
      <c r="L274" s="66">
        <v>16157</v>
      </c>
      <c r="M274" t="s">
        <v>509</v>
      </c>
    </row>
    <row r="275" spans="12:13">
      <c r="L275" s="66">
        <v>16158</v>
      </c>
      <c r="M275" t="s">
        <v>510</v>
      </c>
    </row>
    <row r="276" spans="12:13">
      <c r="L276" s="66">
        <v>16159</v>
      </c>
      <c r="M276" t="s">
        <v>511</v>
      </c>
    </row>
    <row r="277" spans="12:13">
      <c r="L277" s="66">
        <v>16160</v>
      </c>
      <c r="M277" t="s">
        <v>512</v>
      </c>
    </row>
    <row r="278" spans="12:13">
      <c r="L278" s="66">
        <v>16161</v>
      </c>
      <c r="M278" t="s">
        <v>512</v>
      </c>
    </row>
    <row r="279" spans="12:13">
      <c r="L279" s="66">
        <v>16167</v>
      </c>
      <c r="M279" t="s">
        <v>513</v>
      </c>
    </row>
    <row r="280" spans="12:13">
      <c r="L280" s="66">
        <v>16168</v>
      </c>
      <c r="M280" t="s">
        <v>514</v>
      </c>
    </row>
    <row r="281" spans="12:13">
      <c r="L281" s="66">
        <v>16169</v>
      </c>
      <c r="M281" t="s">
        <v>515</v>
      </c>
    </row>
    <row r="282" spans="12:13">
      <c r="L282" s="66">
        <v>16170</v>
      </c>
      <c r="M282" t="s">
        <v>516</v>
      </c>
    </row>
    <row r="283" spans="12:13">
      <c r="L283" s="66">
        <v>16171</v>
      </c>
      <c r="M283" t="s">
        <v>516</v>
      </c>
    </row>
    <row r="284" spans="12:13">
      <c r="L284" s="66">
        <v>16177</v>
      </c>
      <c r="M284" t="s">
        <v>517</v>
      </c>
    </row>
    <row r="285" spans="12:13">
      <c r="L285" s="66">
        <v>16178</v>
      </c>
      <c r="M285" t="s">
        <v>518</v>
      </c>
    </row>
    <row r="286" spans="12:13">
      <c r="L286" s="66">
        <v>16179</v>
      </c>
      <c r="M286" t="s">
        <v>519</v>
      </c>
    </row>
    <row r="287" spans="12:13">
      <c r="L287" s="66">
        <v>16180</v>
      </c>
      <c r="M287" t="s">
        <v>520</v>
      </c>
    </row>
    <row r="288" spans="12:13">
      <c r="L288" s="66">
        <v>16181</v>
      </c>
      <c r="M288" t="s">
        <v>520</v>
      </c>
    </row>
    <row r="289" spans="12:13">
      <c r="L289" s="66">
        <v>16190</v>
      </c>
      <c r="M289" t="s">
        <v>521</v>
      </c>
    </row>
    <row r="290" spans="12:13">
      <c r="L290" s="66">
        <v>16191</v>
      </c>
      <c r="M290" t="s">
        <v>521</v>
      </c>
    </row>
    <row r="291" spans="12:13">
      <c r="L291" s="66">
        <v>20000</v>
      </c>
      <c r="M291" t="s">
        <v>522</v>
      </c>
    </row>
    <row r="292" spans="12:13">
      <c r="L292" s="66">
        <v>21000</v>
      </c>
      <c r="M292" t="s">
        <v>523</v>
      </c>
    </row>
    <row r="293" spans="12:13">
      <c r="L293" s="66">
        <v>21100</v>
      </c>
      <c r="M293" t="s">
        <v>524</v>
      </c>
    </row>
    <row r="294" spans="12:13">
      <c r="L294" s="66">
        <v>21110</v>
      </c>
      <c r="M294" t="s">
        <v>524</v>
      </c>
    </row>
    <row r="295" spans="12:13">
      <c r="L295" s="66">
        <v>21111</v>
      </c>
      <c r="M295" t="s">
        <v>524</v>
      </c>
    </row>
    <row r="296" spans="12:13">
      <c r="L296" s="66">
        <v>21117</v>
      </c>
      <c r="M296" t="s">
        <v>525</v>
      </c>
    </row>
    <row r="297" spans="12:13">
      <c r="L297" s="66">
        <v>21118</v>
      </c>
      <c r="M297" t="s">
        <v>526</v>
      </c>
    </row>
    <row r="298" spans="12:13">
      <c r="L298" s="66">
        <v>21119</v>
      </c>
      <c r="M298" t="s">
        <v>527</v>
      </c>
    </row>
    <row r="299" spans="12:13">
      <c r="L299" s="66">
        <v>21200</v>
      </c>
      <c r="M299" t="s">
        <v>528</v>
      </c>
    </row>
    <row r="300" spans="12:13">
      <c r="L300" s="66">
        <v>21210</v>
      </c>
      <c r="M300" t="s">
        <v>529</v>
      </c>
    </row>
    <row r="301" spans="12:13">
      <c r="L301" s="66">
        <v>21211</v>
      </c>
      <c r="M301" t="s">
        <v>529</v>
      </c>
    </row>
    <row r="302" spans="12:13">
      <c r="L302" s="66">
        <v>21220</v>
      </c>
      <c r="M302" t="s">
        <v>530</v>
      </c>
    </row>
    <row r="303" spans="12:13">
      <c r="L303" s="66">
        <v>21221</v>
      </c>
      <c r="M303" t="s">
        <v>530</v>
      </c>
    </row>
    <row r="304" spans="12:13">
      <c r="L304" s="66">
        <v>21230</v>
      </c>
      <c r="M304" t="s">
        <v>531</v>
      </c>
    </row>
    <row r="305" spans="12:13">
      <c r="L305" s="66">
        <v>21231</v>
      </c>
      <c r="M305" t="s">
        <v>531</v>
      </c>
    </row>
    <row r="306" spans="12:13">
      <c r="L306" s="66">
        <v>21300</v>
      </c>
      <c r="M306" t="s">
        <v>532</v>
      </c>
    </row>
    <row r="307" spans="12:13">
      <c r="L307" s="66">
        <v>21310</v>
      </c>
      <c r="M307" t="s">
        <v>532</v>
      </c>
    </row>
    <row r="308" spans="12:13">
      <c r="L308" s="66">
        <v>21311</v>
      </c>
      <c r="M308" t="s">
        <v>533</v>
      </c>
    </row>
    <row r="309" spans="12:13">
      <c r="L309" s="66">
        <v>21312</v>
      </c>
      <c r="M309" t="s">
        <v>534</v>
      </c>
    </row>
    <row r="310" spans="12:13">
      <c r="L310" s="66">
        <v>21313</v>
      </c>
      <c r="M310" t="s">
        <v>535</v>
      </c>
    </row>
    <row r="311" spans="12:13">
      <c r="L311" s="66">
        <v>21314</v>
      </c>
      <c r="M311" t="s">
        <v>536</v>
      </c>
    </row>
    <row r="312" spans="12:13">
      <c r="L312" s="66">
        <v>21319</v>
      </c>
      <c r="M312" t="s">
        <v>537</v>
      </c>
    </row>
    <row r="313" spans="12:13">
      <c r="L313" s="66">
        <v>22000</v>
      </c>
      <c r="M313" t="s">
        <v>538</v>
      </c>
    </row>
    <row r="314" spans="12:13">
      <c r="L314" s="66">
        <v>22100</v>
      </c>
      <c r="M314" t="s">
        <v>539</v>
      </c>
    </row>
    <row r="315" spans="12:13">
      <c r="L315" s="66">
        <v>22110</v>
      </c>
      <c r="M315" t="s">
        <v>539</v>
      </c>
    </row>
    <row r="316" spans="12:13">
      <c r="L316" s="66">
        <v>22111</v>
      </c>
      <c r="M316" t="s">
        <v>539</v>
      </c>
    </row>
    <row r="317" spans="12:13">
      <c r="L317" s="66">
        <v>22120</v>
      </c>
      <c r="M317" t="s">
        <v>540</v>
      </c>
    </row>
    <row r="318" spans="12:13">
      <c r="L318" s="66">
        <v>22121</v>
      </c>
      <c r="M318" t="s">
        <v>540</v>
      </c>
    </row>
    <row r="319" spans="12:13">
      <c r="L319" s="66">
        <v>22129</v>
      </c>
      <c r="M319" t="s">
        <v>541</v>
      </c>
    </row>
    <row r="320" spans="12:13">
      <c r="L320" s="66">
        <v>22200</v>
      </c>
      <c r="M320" t="s">
        <v>542</v>
      </c>
    </row>
    <row r="321" spans="12:13">
      <c r="L321" s="66">
        <v>22210</v>
      </c>
      <c r="M321" t="s">
        <v>543</v>
      </c>
    </row>
    <row r="322" spans="12:13">
      <c r="L322" s="66">
        <v>22211</v>
      </c>
      <c r="M322" t="s">
        <v>544</v>
      </c>
    </row>
    <row r="323" spans="12:13">
      <c r="L323" s="66">
        <v>22220</v>
      </c>
      <c r="M323" t="s">
        <v>545</v>
      </c>
    </row>
    <row r="324" spans="12:13">
      <c r="L324" s="66">
        <v>22221</v>
      </c>
      <c r="M324" t="s">
        <v>546</v>
      </c>
    </row>
    <row r="325" spans="12:13">
      <c r="L325" s="66">
        <v>22222</v>
      </c>
      <c r="M325" t="s">
        <v>547</v>
      </c>
    </row>
    <row r="326" spans="12:13">
      <c r="L326" s="66">
        <v>22230</v>
      </c>
      <c r="M326" t="s">
        <v>548</v>
      </c>
    </row>
    <row r="327" spans="12:13">
      <c r="L327" s="66">
        <v>22231</v>
      </c>
      <c r="M327" t="s">
        <v>549</v>
      </c>
    </row>
    <row r="328" spans="12:13">
      <c r="L328" s="66">
        <v>22232</v>
      </c>
      <c r="M328" t="s">
        <v>550</v>
      </c>
    </row>
    <row r="329" spans="12:13">
      <c r="L329" s="66">
        <v>22233</v>
      </c>
      <c r="M329" t="s">
        <v>551</v>
      </c>
    </row>
    <row r="330" spans="12:13">
      <c r="L330" s="66">
        <v>22234</v>
      </c>
      <c r="M330" t="s">
        <v>552</v>
      </c>
    </row>
    <row r="331" spans="12:13">
      <c r="L331" s="66">
        <v>22235</v>
      </c>
      <c r="M331" t="s">
        <v>553</v>
      </c>
    </row>
    <row r="332" spans="12:13">
      <c r="L332" s="66">
        <v>22236</v>
      </c>
      <c r="M332" t="s">
        <v>554</v>
      </c>
    </row>
    <row r="333" spans="12:13">
      <c r="L333" s="66">
        <v>22237</v>
      </c>
      <c r="M333" t="s">
        <v>555</v>
      </c>
    </row>
    <row r="334" spans="12:13">
      <c r="L334" s="66">
        <v>22238</v>
      </c>
      <c r="M334" t="s">
        <v>556</v>
      </c>
    </row>
    <row r="335" spans="12:13">
      <c r="L335" s="66">
        <v>22239</v>
      </c>
      <c r="M335" t="s">
        <v>557</v>
      </c>
    </row>
    <row r="336" spans="12:13">
      <c r="L336" s="66">
        <v>22290</v>
      </c>
      <c r="M336" t="s">
        <v>558</v>
      </c>
    </row>
    <row r="337" spans="12:13">
      <c r="L337" s="66">
        <v>22291</v>
      </c>
      <c r="M337" t="s">
        <v>559</v>
      </c>
    </row>
    <row r="338" spans="12:13">
      <c r="L338" s="66">
        <v>22292</v>
      </c>
      <c r="M338" t="s">
        <v>560</v>
      </c>
    </row>
    <row r="339" spans="12:13">
      <c r="L339" s="66">
        <v>22293</v>
      </c>
      <c r="M339" t="s">
        <v>561</v>
      </c>
    </row>
    <row r="340" spans="12:13">
      <c r="L340" s="67">
        <v>100000</v>
      </c>
      <c r="M340" t="s">
        <v>562</v>
      </c>
    </row>
    <row r="341" spans="12:13">
      <c r="L341" s="66">
        <v>110000</v>
      </c>
      <c r="M341" t="s">
        <v>563</v>
      </c>
    </row>
    <row r="342" spans="12:13">
      <c r="L342" s="66">
        <v>111000</v>
      </c>
      <c r="M342" t="s">
        <v>564</v>
      </c>
    </row>
    <row r="343" spans="12:13">
      <c r="L343" s="66">
        <v>111100</v>
      </c>
      <c r="M343" t="s">
        <v>565</v>
      </c>
    </row>
    <row r="344" spans="12:13">
      <c r="L344" s="66">
        <v>111110</v>
      </c>
      <c r="M344" t="s">
        <v>566</v>
      </c>
    </row>
    <row r="345" spans="12:13">
      <c r="L345" s="66">
        <v>111111</v>
      </c>
      <c r="M345" t="s">
        <v>566</v>
      </c>
    </row>
    <row r="346" spans="12:13">
      <c r="L346" s="66">
        <v>111190</v>
      </c>
      <c r="M346" t="s">
        <v>567</v>
      </c>
    </row>
    <row r="347" spans="12:13">
      <c r="L347" s="66">
        <v>111191</v>
      </c>
      <c r="M347" t="s">
        <v>567</v>
      </c>
    </row>
    <row r="348" spans="12:13">
      <c r="L348" s="66">
        <v>111200</v>
      </c>
      <c r="M348" t="s">
        <v>568</v>
      </c>
    </row>
    <row r="349" spans="12:13">
      <c r="L349" s="66">
        <v>111210</v>
      </c>
      <c r="M349" t="s">
        <v>569</v>
      </c>
    </row>
    <row r="350" spans="12:13">
      <c r="L350" s="66">
        <v>111211</v>
      </c>
      <c r="M350" t="s">
        <v>569</v>
      </c>
    </row>
    <row r="351" spans="12:13">
      <c r="L351" s="66">
        <v>111220</v>
      </c>
      <c r="M351" t="s">
        <v>570</v>
      </c>
    </row>
    <row r="352" spans="12:13">
      <c r="L352" s="66">
        <v>111221</v>
      </c>
      <c r="M352" t="s">
        <v>570</v>
      </c>
    </row>
    <row r="353" spans="12:13">
      <c r="L353" s="66">
        <v>111230</v>
      </c>
      <c r="M353" t="s">
        <v>571</v>
      </c>
    </row>
    <row r="354" spans="12:13">
      <c r="L354" s="66">
        <v>111231</v>
      </c>
      <c r="M354" t="s">
        <v>571</v>
      </c>
    </row>
    <row r="355" spans="12:13">
      <c r="L355" s="66">
        <v>111240</v>
      </c>
      <c r="M355" t="s">
        <v>572</v>
      </c>
    </row>
    <row r="356" spans="12:13">
      <c r="L356" s="66">
        <v>111241</v>
      </c>
      <c r="M356" t="s">
        <v>572</v>
      </c>
    </row>
    <row r="357" spans="12:13">
      <c r="L357" s="66">
        <v>111250</v>
      </c>
      <c r="M357" t="s">
        <v>573</v>
      </c>
    </row>
    <row r="358" spans="12:13">
      <c r="L358" s="66">
        <v>111251</v>
      </c>
      <c r="M358" t="s">
        <v>574</v>
      </c>
    </row>
    <row r="359" spans="12:13">
      <c r="L359" s="66">
        <v>111252</v>
      </c>
      <c r="M359" t="s">
        <v>575</v>
      </c>
    </row>
    <row r="360" spans="12:13">
      <c r="L360" s="66">
        <v>111255</v>
      </c>
      <c r="M360" t="s">
        <v>576</v>
      </c>
    </row>
    <row r="361" spans="12:13">
      <c r="L361" s="66">
        <v>111290</v>
      </c>
      <c r="M361" t="s">
        <v>577</v>
      </c>
    </row>
    <row r="362" spans="12:13">
      <c r="L362" s="66">
        <v>111291</v>
      </c>
      <c r="M362" t="s">
        <v>578</v>
      </c>
    </row>
    <row r="363" spans="12:13">
      <c r="L363" s="66">
        <v>111292</v>
      </c>
      <c r="M363" t="s">
        <v>579</v>
      </c>
    </row>
    <row r="364" spans="12:13">
      <c r="L364" s="66">
        <v>111293</v>
      </c>
      <c r="M364" t="s">
        <v>580</v>
      </c>
    </row>
    <row r="365" spans="12:13">
      <c r="L365" s="66">
        <v>111294</v>
      </c>
      <c r="M365" t="s">
        <v>581</v>
      </c>
    </row>
    <row r="366" spans="12:13">
      <c r="L366" s="66">
        <v>111295</v>
      </c>
      <c r="M366" t="s">
        <v>582</v>
      </c>
    </row>
    <row r="367" spans="12:13">
      <c r="L367" s="66">
        <v>111300</v>
      </c>
      <c r="M367" t="s">
        <v>583</v>
      </c>
    </row>
    <row r="368" spans="12:13">
      <c r="L368" s="66">
        <v>111310</v>
      </c>
      <c r="M368" t="s">
        <v>584</v>
      </c>
    </row>
    <row r="369" spans="12:13">
      <c r="L369" s="66">
        <v>111311</v>
      </c>
      <c r="M369" t="s">
        <v>584</v>
      </c>
    </row>
    <row r="370" spans="12:13">
      <c r="L370" s="66">
        <v>111380</v>
      </c>
      <c r="M370" t="s">
        <v>585</v>
      </c>
    </row>
    <row r="371" spans="12:13">
      <c r="L371" s="66">
        <v>111381</v>
      </c>
      <c r="M371" t="s">
        <v>585</v>
      </c>
    </row>
    <row r="372" spans="12:13">
      <c r="L372" s="66">
        <v>111390</v>
      </c>
      <c r="M372" t="s">
        <v>586</v>
      </c>
    </row>
    <row r="373" spans="12:13">
      <c r="L373" s="66">
        <v>111391</v>
      </c>
      <c r="M373" t="s">
        <v>587</v>
      </c>
    </row>
    <row r="374" spans="12:13">
      <c r="L374" s="66">
        <v>111398</v>
      </c>
      <c r="M374" t="s">
        <v>588</v>
      </c>
    </row>
    <row r="375" spans="12:13">
      <c r="L375" s="66">
        <v>111400</v>
      </c>
      <c r="M375" t="s">
        <v>589</v>
      </c>
    </row>
    <row r="376" spans="12:13">
      <c r="L376" s="66">
        <v>111410</v>
      </c>
      <c r="M376" t="s">
        <v>590</v>
      </c>
    </row>
    <row r="377" spans="12:13">
      <c r="L377" s="66">
        <v>111411</v>
      </c>
      <c r="M377" t="s">
        <v>590</v>
      </c>
    </row>
    <row r="378" spans="12:13">
      <c r="L378" s="66">
        <v>111490</v>
      </c>
      <c r="M378" t="s">
        <v>591</v>
      </c>
    </row>
    <row r="379" spans="12:13">
      <c r="L379" s="66">
        <v>111491</v>
      </c>
      <c r="M379" t="s">
        <v>591</v>
      </c>
    </row>
    <row r="380" spans="12:13">
      <c r="L380" s="66">
        <v>111500</v>
      </c>
      <c r="M380" t="s">
        <v>592</v>
      </c>
    </row>
    <row r="381" spans="12:13">
      <c r="L381" s="66">
        <v>111510</v>
      </c>
      <c r="M381" t="s">
        <v>592</v>
      </c>
    </row>
    <row r="382" spans="12:13">
      <c r="L382" s="66">
        <v>111511</v>
      </c>
      <c r="M382" t="s">
        <v>592</v>
      </c>
    </row>
    <row r="383" spans="12:13">
      <c r="L383" s="66">
        <v>111590</v>
      </c>
      <c r="M383" t="s">
        <v>593</v>
      </c>
    </row>
    <row r="384" spans="12:13">
      <c r="L384" s="66">
        <v>111591</v>
      </c>
      <c r="M384" t="s">
        <v>593</v>
      </c>
    </row>
    <row r="385" spans="12:13">
      <c r="L385" s="66">
        <v>111600</v>
      </c>
      <c r="M385" t="s">
        <v>594</v>
      </c>
    </row>
    <row r="386" spans="12:13">
      <c r="L386" s="66">
        <v>111610</v>
      </c>
      <c r="M386" t="s">
        <v>594</v>
      </c>
    </row>
    <row r="387" spans="12:13">
      <c r="L387" s="66">
        <v>111611</v>
      </c>
      <c r="M387" t="s">
        <v>595</v>
      </c>
    </row>
    <row r="388" spans="12:13">
      <c r="L388" s="66">
        <v>111612</v>
      </c>
      <c r="M388" t="s">
        <v>596</v>
      </c>
    </row>
    <row r="389" spans="12:13">
      <c r="L389" s="66">
        <v>111613</v>
      </c>
      <c r="M389" t="s">
        <v>597</v>
      </c>
    </row>
    <row r="390" spans="12:13">
      <c r="L390" s="66">
        <v>111690</v>
      </c>
      <c r="M390" t="s">
        <v>598</v>
      </c>
    </row>
    <row r="391" spans="12:13">
      <c r="L391" s="66">
        <v>111691</v>
      </c>
      <c r="M391" t="s">
        <v>598</v>
      </c>
    </row>
    <row r="392" spans="12:13">
      <c r="L392" s="66">
        <v>111700</v>
      </c>
      <c r="M392" t="s">
        <v>599</v>
      </c>
    </row>
    <row r="393" spans="12:13">
      <c r="L393" s="66">
        <v>111710</v>
      </c>
      <c r="M393" t="s">
        <v>600</v>
      </c>
    </row>
    <row r="394" spans="12:13">
      <c r="L394" s="66">
        <v>111711</v>
      </c>
      <c r="M394" t="s">
        <v>600</v>
      </c>
    </row>
    <row r="395" spans="12:13">
      <c r="L395" s="66">
        <v>111712</v>
      </c>
      <c r="M395" t="s">
        <v>601</v>
      </c>
    </row>
    <row r="396" spans="12:13">
      <c r="L396" s="66">
        <v>111790</v>
      </c>
      <c r="M396" t="s">
        <v>602</v>
      </c>
    </row>
    <row r="397" spans="12:13">
      <c r="L397" s="66">
        <v>111791</v>
      </c>
      <c r="M397" t="s">
        <v>602</v>
      </c>
    </row>
    <row r="398" spans="12:13">
      <c r="L398" s="66">
        <v>111800</v>
      </c>
      <c r="M398" t="s">
        <v>603</v>
      </c>
    </row>
    <row r="399" spans="12:13">
      <c r="L399" s="66">
        <v>111810</v>
      </c>
      <c r="M399" t="s">
        <v>603</v>
      </c>
    </row>
    <row r="400" spans="12:13">
      <c r="L400" s="66">
        <v>111811</v>
      </c>
      <c r="M400" t="s">
        <v>603</v>
      </c>
    </row>
    <row r="401" spans="12:13">
      <c r="L401" s="66">
        <v>111890</v>
      </c>
      <c r="M401" t="s">
        <v>604</v>
      </c>
    </row>
    <row r="402" spans="12:13">
      <c r="L402" s="66">
        <v>111891</v>
      </c>
      <c r="M402" t="s">
        <v>604</v>
      </c>
    </row>
    <row r="403" spans="12:13">
      <c r="L403" s="66">
        <v>111900</v>
      </c>
      <c r="M403" t="s">
        <v>605</v>
      </c>
    </row>
    <row r="404" spans="12:13">
      <c r="L404" s="66">
        <v>111910</v>
      </c>
      <c r="M404" t="s">
        <v>606</v>
      </c>
    </row>
    <row r="405" spans="12:13">
      <c r="L405" s="66">
        <v>111911</v>
      </c>
      <c r="M405" t="s">
        <v>606</v>
      </c>
    </row>
    <row r="406" spans="12:13">
      <c r="L406" s="66">
        <v>111920</v>
      </c>
      <c r="M406" t="s">
        <v>607</v>
      </c>
    </row>
    <row r="407" spans="12:13">
      <c r="L407" s="66">
        <v>111921</v>
      </c>
      <c r="M407" t="s">
        <v>608</v>
      </c>
    </row>
    <row r="408" spans="12:13">
      <c r="L408" s="66">
        <v>111922</v>
      </c>
      <c r="M408" t="s">
        <v>609</v>
      </c>
    </row>
    <row r="409" spans="12:13">
      <c r="L409" s="66">
        <v>111930</v>
      </c>
      <c r="M409" t="s">
        <v>610</v>
      </c>
    </row>
    <row r="410" spans="12:13">
      <c r="L410" s="66">
        <v>111931</v>
      </c>
      <c r="M410" t="s">
        <v>610</v>
      </c>
    </row>
    <row r="411" spans="12:13">
      <c r="L411" s="66">
        <v>111940</v>
      </c>
      <c r="M411" t="s">
        <v>611</v>
      </c>
    </row>
    <row r="412" spans="12:13">
      <c r="L412" s="66">
        <v>111941</v>
      </c>
      <c r="M412" t="s">
        <v>611</v>
      </c>
    </row>
    <row r="413" spans="12:13">
      <c r="L413" s="66">
        <v>111990</v>
      </c>
      <c r="M413" t="s">
        <v>612</v>
      </c>
    </row>
    <row r="414" spans="12:13">
      <c r="L414" s="66">
        <v>111991</v>
      </c>
      <c r="M414" t="s">
        <v>613</v>
      </c>
    </row>
    <row r="415" spans="12:13">
      <c r="L415" s="66">
        <v>111992</v>
      </c>
      <c r="M415" t="s">
        <v>614</v>
      </c>
    </row>
    <row r="416" spans="12:13">
      <c r="L416" s="66">
        <v>111993</v>
      </c>
      <c r="M416" t="s">
        <v>615</v>
      </c>
    </row>
    <row r="417" spans="12:13">
      <c r="L417" s="66">
        <v>111994</v>
      </c>
      <c r="M417" t="s">
        <v>616</v>
      </c>
    </row>
    <row r="418" spans="12:13">
      <c r="L418" s="66">
        <v>112000</v>
      </c>
      <c r="M418" t="s">
        <v>617</v>
      </c>
    </row>
    <row r="419" spans="12:13">
      <c r="L419" s="66">
        <v>112100</v>
      </c>
      <c r="M419" t="s">
        <v>618</v>
      </c>
    </row>
    <row r="420" spans="12:13">
      <c r="L420" s="66">
        <v>112110</v>
      </c>
      <c r="M420" t="s">
        <v>618</v>
      </c>
    </row>
    <row r="421" spans="12:13">
      <c r="L421" s="66">
        <v>112111</v>
      </c>
      <c r="M421" t="s">
        <v>618</v>
      </c>
    </row>
    <row r="422" spans="12:13">
      <c r="L422" s="66">
        <v>112190</v>
      </c>
      <c r="M422" t="s">
        <v>619</v>
      </c>
    </row>
    <row r="423" spans="12:13">
      <c r="L423" s="66">
        <v>112191</v>
      </c>
      <c r="M423" t="s">
        <v>619</v>
      </c>
    </row>
    <row r="424" spans="12:13">
      <c r="L424" s="66">
        <v>112200</v>
      </c>
      <c r="M424" t="s">
        <v>620</v>
      </c>
    </row>
    <row r="425" spans="12:13">
      <c r="L425" s="66">
        <v>112210</v>
      </c>
      <c r="M425" t="s">
        <v>620</v>
      </c>
    </row>
    <row r="426" spans="12:13">
      <c r="L426" s="66">
        <v>112211</v>
      </c>
      <c r="M426" t="s">
        <v>620</v>
      </c>
    </row>
    <row r="427" spans="12:13">
      <c r="L427" s="66">
        <v>112290</v>
      </c>
      <c r="M427" t="s">
        <v>621</v>
      </c>
    </row>
    <row r="428" spans="12:13">
      <c r="L428" s="66">
        <v>112291</v>
      </c>
      <c r="M428" t="s">
        <v>621</v>
      </c>
    </row>
    <row r="429" spans="12:13">
      <c r="L429" s="66">
        <v>112300</v>
      </c>
      <c r="M429" t="s">
        <v>622</v>
      </c>
    </row>
    <row r="430" spans="12:13">
      <c r="L430" s="66">
        <v>112310</v>
      </c>
      <c r="M430" t="s">
        <v>622</v>
      </c>
    </row>
    <row r="431" spans="12:13">
      <c r="L431" s="66">
        <v>112311</v>
      </c>
      <c r="M431" t="s">
        <v>622</v>
      </c>
    </row>
    <row r="432" spans="12:13">
      <c r="L432" s="66">
        <v>112390</v>
      </c>
      <c r="M432" t="s">
        <v>623</v>
      </c>
    </row>
    <row r="433" spans="12:13">
      <c r="L433" s="66">
        <v>112391</v>
      </c>
      <c r="M433" t="s">
        <v>623</v>
      </c>
    </row>
    <row r="434" spans="12:13">
      <c r="L434" s="66">
        <v>112400</v>
      </c>
      <c r="M434" t="s">
        <v>624</v>
      </c>
    </row>
    <row r="435" spans="12:13">
      <c r="L435" s="66">
        <v>112410</v>
      </c>
      <c r="M435" t="s">
        <v>624</v>
      </c>
    </row>
    <row r="436" spans="12:13">
      <c r="L436" s="66">
        <v>112411</v>
      </c>
      <c r="M436" t="s">
        <v>624</v>
      </c>
    </row>
    <row r="437" spans="12:13">
      <c r="L437" s="66">
        <v>112490</v>
      </c>
      <c r="M437" t="s">
        <v>625</v>
      </c>
    </row>
    <row r="438" spans="12:13">
      <c r="L438" s="66">
        <v>112491</v>
      </c>
      <c r="M438" t="s">
        <v>625</v>
      </c>
    </row>
    <row r="439" spans="12:13">
      <c r="L439" s="66">
        <v>112500</v>
      </c>
      <c r="M439" t="s">
        <v>626</v>
      </c>
    </row>
    <row r="440" spans="12:13">
      <c r="L440" s="66">
        <v>112510</v>
      </c>
      <c r="M440" t="s">
        <v>626</v>
      </c>
    </row>
    <row r="441" spans="12:13">
      <c r="L441" s="66">
        <v>112511</v>
      </c>
      <c r="M441" t="s">
        <v>626</v>
      </c>
    </row>
    <row r="442" spans="12:13">
      <c r="L442" s="66">
        <v>112590</v>
      </c>
      <c r="M442" t="s">
        <v>627</v>
      </c>
    </row>
    <row r="443" spans="12:13">
      <c r="L443" s="66">
        <v>112591</v>
      </c>
      <c r="M443" t="s">
        <v>627</v>
      </c>
    </row>
    <row r="444" spans="12:13">
      <c r="L444" s="66">
        <v>112600</v>
      </c>
      <c r="M444" t="s">
        <v>628</v>
      </c>
    </row>
    <row r="445" spans="12:13">
      <c r="L445" s="66">
        <v>112610</v>
      </c>
      <c r="M445" t="s">
        <v>628</v>
      </c>
    </row>
    <row r="446" spans="12:13">
      <c r="L446" s="66">
        <v>112611</v>
      </c>
      <c r="M446" t="s">
        <v>629</v>
      </c>
    </row>
    <row r="447" spans="12:13">
      <c r="L447" s="66">
        <v>112612</v>
      </c>
      <c r="M447" t="s">
        <v>630</v>
      </c>
    </row>
    <row r="448" spans="12:13">
      <c r="L448" s="66">
        <v>112690</v>
      </c>
      <c r="M448" t="s">
        <v>631</v>
      </c>
    </row>
    <row r="449" spans="12:13">
      <c r="L449" s="66">
        <v>112691</v>
      </c>
      <c r="M449" t="s">
        <v>631</v>
      </c>
    </row>
    <row r="450" spans="12:13">
      <c r="L450" s="66">
        <v>112700</v>
      </c>
      <c r="M450" t="s">
        <v>632</v>
      </c>
    </row>
    <row r="451" spans="12:13">
      <c r="L451" s="66">
        <v>112710</v>
      </c>
      <c r="M451" t="s">
        <v>633</v>
      </c>
    </row>
    <row r="452" spans="12:13">
      <c r="L452" s="66">
        <v>112711</v>
      </c>
      <c r="M452" t="s">
        <v>633</v>
      </c>
    </row>
    <row r="453" spans="12:13">
      <c r="L453" s="66">
        <v>112720</v>
      </c>
      <c r="M453" t="s">
        <v>634</v>
      </c>
    </row>
    <row r="454" spans="12:13">
      <c r="L454" s="66">
        <v>112721</v>
      </c>
      <c r="M454" t="s">
        <v>634</v>
      </c>
    </row>
    <row r="455" spans="12:13">
      <c r="L455" s="66">
        <v>112790</v>
      </c>
      <c r="M455" t="s">
        <v>635</v>
      </c>
    </row>
    <row r="456" spans="12:13">
      <c r="L456" s="66">
        <v>112791</v>
      </c>
      <c r="M456" t="s">
        <v>636</v>
      </c>
    </row>
    <row r="457" spans="12:13">
      <c r="L457" s="66">
        <v>112792</v>
      </c>
      <c r="M457" t="s">
        <v>637</v>
      </c>
    </row>
    <row r="458" spans="12:13">
      <c r="L458" s="66">
        <v>112800</v>
      </c>
      <c r="M458" t="s">
        <v>638</v>
      </c>
    </row>
    <row r="459" spans="12:13">
      <c r="L459" s="66">
        <v>112810</v>
      </c>
      <c r="M459" t="s">
        <v>638</v>
      </c>
    </row>
    <row r="460" spans="12:13">
      <c r="L460" s="66">
        <v>112811</v>
      </c>
      <c r="M460" t="s">
        <v>638</v>
      </c>
    </row>
    <row r="461" spans="12:13">
      <c r="L461" s="66">
        <v>120000</v>
      </c>
      <c r="M461" t="s">
        <v>639</v>
      </c>
    </row>
    <row r="462" spans="12:13">
      <c r="L462" s="66">
        <v>121000</v>
      </c>
      <c r="M462" t="s">
        <v>640</v>
      </c>
    </row>
    <row r="463" spans="12:13">
      <c r="L463" s="66">
        <v>121100</v>
      </c>
      <c r="M463" t="s">
        <v>641</v>
      </c>
    </row>
    <row r="464" spans="12:13">
      <c r="L464" s="66">
        <v>121110</v>
      </c>
      <c r="M464" t="s">
        <v>641</v>
      </c>
    </row>
    <row r="465" spans="12:13">
      <c r="L465" s="66">
        <v>121111</v>
      </c>
      <c r="M465" t="s">
        <v>642</v>
      </c>
    </row>
    <row r="466" spans="12:13">
      <c r="L466" s="66">
        <v>121112</v>
      </c>
      <c r="M466" t="s">
        <v>643</v>
      </c>
    </row>
    <row r="467" spans="12:13">
      <c r="L467" s="66">
        <v>121113</v>
      </c>
      <c r="M467" t="s">
        <v>644</v>
      </c>
    </row>
    <row r="468" spans="12:13">
      <c r="L468" s="66">
        <v>121200</v>
      </c>
      <c r="M468" t="s">
        <v>645</v>
      </c>
    </row>
    <row r="469" spans="12:13">
      <c r="L469" s="66">
        <v>121210</v>
      </c>
      <c r="M469" t="s">
        <v>645</v>
      </c>
    </row>
    <row r="470" spans="12:13">
      <c r="L470" s="66">
        <v>121211</v>
      </c>
      <c r="M470" t="s">
        <v>646</v>
      </c>
    </row>
    <row r="471" spans="12:13">
      <c r="L471" s="66">
        <v>121212</v>
      </c>
      <c r="M471" t="s">
        <v>647</v>
      </c>
    </row>
    <row r="472" spans="12:13">
      <c r="L472" s="66">
        <v>121213</v>
      </c>
      <c r="M472" t="s">
        <v>648</v>
      </c>
    </row>
    <row r="473" spans="12:13">
      <c r="L473" s="66">
        <v>121214</v>
      </c>
      <c r="M473" t="s">
        <v>649</v>
      </c>
    </row>
    <row r="474" spans="12:13">
      <c r="L474" s="66">
        <v>121215</v>
      </c>
      <c r="M474" t="s">
        <v>650</v>
      </c>
    </row>
    <row r="475" spans="12:13">
      <c r="L475" s="66">
        <v>121216</v>
      </c>
      <c r="M475" t="s">
        <v>651</v>
      </c>
    </row>
    <row r="476" spans="12:13">
      <c r="L476" s="66">
        <v>121217</v>
      </c>
      <c r="M476" t="s">
        <v>652</v>
      </c>
    </row>
    <row r="477" spans="12:13">
      <c r="L477" s="66">
        <v>121218</v>
      </c>
      <c r="M477" t="s">
        <v>653</v>
      </c>
    </row>
    <row r="478" spans="12:13">
      <c r="L478" s="66">
        <v>121219</v>
      </c>
      <c r="M478" t="s">
        <v>654</v>
      </c>
    </row>
    <row r="479" spans="12:13">
      <c r="L479" s="66">
        <v>121300</v>
      </c>
      <c r="M479" t="s">
        <v>655</v>
      </c>
    </row>
    <row r="480" spans="12:13">
      <c r="L480" s="66">
        <v>121310</v>
      </c>
      <c r="M480" t="s">
        <v>655</v>
      </c>
    </row>
    <row r="481" spans="12:13">
      <c r="L481" s="66">
        <v>121311</v>
      </c>
      <c r="M481" t="s">
        <v>656</v>
      </c>
    </row>
    <row r="482" spans="12:13">
      <c r="L482" s="66">
        <v>121312</v>
      </c>
      <c r="M482" t="s">
        <v>657</v>
      </c>
    </row>
    <row r="483" spans="12:13">
      <c r="L483" s="66">
        <v>121313</v>
      </c>
      <c r="M483" t="s">
        <v>658</v>
      </c>
    </row>
    <row r="484" spans="12:13">
      <c r="L484" s="66">
        <v>121314</v>
      </c>
      <c r="M484" t="s">
        <v>659</v>
      </c>
    </row>
    <row r="485" spans="12:13">
      <c r="L485" s="66">
        <v>121315</v>
      </c>
      <c r="M485" t="s">
        <v>660</v>
      </c>
    </row>
    <row r="486" spans="12:13">
      <c r="L486" s="66">
        <v>121319</v>
      </c>
      <c r="M486" t="s">
        <v>661</v>
      </c>
    </row>
    <row r="487" spans="12:13">
      <c r="L487" s="66">
        <v>121400</v>
      </c>
      <c r="M487" t="s">
        <v>662</v>
      </c>
    </row>
    <row r="488" spans="12:13">
      <c r="L488" s="66">
        <v>121410</v>
      </c>
      <c r="M488" t="s">
        <v>662</v>
      </c>
    </row>
    <row r="489" spans="12:13">
      <c r="L489" s="66">
        <v>121411</v>
      </c>
      <c r="M489" t="s">
        <v>663</v>
      </c>
    </row>
    <row r="490" spans="12:13">
      <c r="L490" s="66">
        <v>121412</v>
      </c>
      <c r="M490" t="s">
        <v>664</v>
      </c>
    </row>
    <row r="491" spans="12:13">
      <c r="L491" s="66">
        <v>121413</v>
      </c>
      <c r="M491" t="s">
        <v>665</v>
      </c>
    </row>
    <row r="492" spans="12:13">
      <c r="L492" s="66">
        <v>121414</v>
      </c>
      <c r="M492" t="s">
        <v>666</v>
      </c>
    </row>
    <row r="493" spans="12:13">
      <c r="L493" s="66">
        <v>121418</v>
      </c>
      <c r="M493" t="s">
        <v>667</v>
      </c>
    </row>
    <row r="494" spans="12:13">
      <c r="L494" s="66">
        <v>121419</v>
      </c>
      <c r="M494" t="s">
        <v>668</v>
      </c>
    </row>
    <row r="495" spans="12:13">
      <c r="L495" s="66">
        <v>121500</v>
      </c>
      <c r="M495" t="s">
        <v>669</v>
      </c>
    </row>
    <row r="496" spans="12:13">
      <c r="L496" s="66">
        <v>121510</v>
      </c>
      <c r="M496" t="s">
        <v>669</v>
      </c>
    </row>
    <row r="497" spans="12:13">
      <c r="L497" s="66">
        <v>121511</v>
      </c>
      <c r="M497" t="s">
        <v>670</v>
      </c>
    </row>
    <row r="498" spans="12:13">
      <c r="L498" s="66">
        <v>121512</v>
      </c>
      <c r="M498" t="s">
        <v>671</v>
      </c>
    </row>
    <row r="499" spans="12:13">
      <c r="L499" s="66">
        <v>121513</v>
      </c>
      <c r="M499" t="s">
        <v>672</v>
      </c>
    </row>
    <row r="500" spans="12:13">
      <c r="L500" s="66">
        <v>121518</v>
      </c>
      <c r="M500" t="s">
        <v>673</v>
      </c>
    </row>
    <row r="501" spans="12:13">
      <c r="L501" s="66">
        <v>121600</v>
      </c>
      <c r="M501" t="s">
        <v>674</v>
      </c>
    </row>
    <row r="502" spans="12:13">
      <c r="L502" s="66">
        <v>121610</v>
      </c>
      <c r="M502" t="s">
        <v>674</v>
      </c>
    </row>
    <row r="503" spans="12:13">
      <c r="L503" s="66">
        <v>121611</v>
      </c>
      <c r="M503" t="s">
        <v>675</v>
      </c>
    </row>
    <row r="504" spans="12:13">
      <c r="L504" s="66">
        <v>121612</v>
      </c>
      <c r="M504" t="s">
        <v>676</v>
      </c>
    </row>
    <row r="505" spans="12:13">
      <c r="L505" s="66">
        <v>121618</v>
      </c>
      <c r="M505" t="s">
        <v>677</v>
      </c>
    </row>
    <row r="506" spans="12:13">
      <c r="L506" s="66">
        <v>121619</v>
      </c>
      <c r="M506" t="s">
        <v>678</v>
      </c>
    </row>
    <row r="507" spans="12:13">
      <c r="L507" s="66">
        <v>121700</v>
      </c>
      <c r="M507" t="s">
        <v>679</v>
      </c>
    </row>
    <row r="508" spans="12:13">
      <c r="L508" s="66">
        <v>121710</v>
      </c>
      <c r="M508" t="s">
        <v>679</v>
      </c>
    </row>
    <row r="509" spans="12:13">
      <c r="L509" s="66">
        <v>121711</v>
      </c>
      <c r="M509" t="s">
        <v>680</v>
      </c>
    </row>
    <row r="510" spans="12:13">
      <c r="L510" s="66">
        <v>121712</v>
      </c>
      <c r="M510" t="s">
        <v>681</v>
      </c>
    </row>
    <row r="511" spans="12:13">
      <c r="L511" s="66">
        <v>121713</v>
      </c>
      <c r="M511" t="s">
        <v>682</v>
      </c>
    </row>
    <row r="512" spans="12:13">
      <c r="L512" s="66">
        <v>121714</v>
      </c>
      <c r="M512" t="s">
        <v>683</v>
      </c>
    </row>
    <row r="513" spans="12:13">
      <c r="L513" s="66">
        <v>121715</v>
      </c>
      <c r="M513" t="s">
        <v>684</v>
      </c>
    </row>
    <row r="514" spans="12:13">
      <c r="L514" s="66">
        <v>121716</v>
      </c>
      <c r="M514" t="s">
        <v>685</v>
      </c>
    </row>
    <row r="515" spans="12:13">
      <c r="L515" s="66">
        <v>121717</v>
      </c>
      <c r="M515" t="s">
        <v>686</v>
      </c>
    </row>
    <row r="516" spans="12:13">
      <c r="L516" s="66">
        <v>121718</v>
      </c>
      <c r="M516" t="s">
        <v>687</v>
      </c>
    </row>
    <row r="517" spans="12:13">
      <c r="L517" s="66">
        <v>121719</v>
      </c>
      <c r="M517" t="s">
        <v>679</v>
      </c>
    </row>
    <row r="518" spans="12:13">
      <c r="L518" s="66">
        <v>121800</v>
      </c>
      <c r="M518" t="s">
        <v>688</v>
      </c>
    </row>
    <row r="519" spans="12:13">
      <c r="L519" s="66">
        <v>121810</v>
      </c>
      <c r="M519" t="s">
        <v>688</v>
      </c>
    </row>
    <row r="520" spans="12:13">
      <c r="L520" s="66">
        <v>121811</v>
      </c>
      <c r="M520" t="s">
        <v>689</v>
      </c>
    </row>
    <row r="521" spans="12:13">
      <c r="L521" s="66">
        <v>121812</v>
      </c>
      <c r="M521" t="s">
        <v>690</v>
      </c>
    </row>
    <row r="522" spans="12:13">
      <c r="L522" s="66">
        <v>121900</v>
      </c>
      <c r="M522" t="s">
        <v>691</v>
      </c>
    </row>
    <row r="523" spans="12:13">
      <c r="L523" s="66">
        <v>121910</v>
      </c>
      <c r="M523" t="s">
        <v>692</v>
      </c>
    </row>
    <row r="524" spans="12:13">
      <c r="L524" s="66">
        <v>121911</v>
      </c>
      <c r="M524" t="s">
        <v>693</v>
      </c>
    </row>
    <row r="525" spans="12:13">
      <c r="L525" s="66">
        <v>121912</v>
      </c>
      <c r="M525" t="s">
        <v>694</v>
      </c>
    </row>
    <row r="526" spans="12:13">
      <c r="L526" s="66">
        <v>121913</v>
      </c>
      <c r="M526" t="s">
        <v>695</v>
      </c>
    </row>
    <row r="527" spans="12:13">
      <c r="L527" s="66">
        <v>121914</v>
      </c>
      <c r="M527" t="s">
        <v>696</v>
      </c>
    </row>
    <row r="528" spans="12:13">
      <c r="L528" s="66">
        <v>121915</v>
      </c>
      <c r="M528" t="s">
        <v>697</v>
      </c>
    </row>
    <row r="529" spans="12:13">
      <c r="L529" s="66">
        <v>121916</v>
      </c>
      <c r="M529" t="s">
        <v>698</v>
      </c>
    </row>
    <row r="530" spans="12:13">
      <c r="L530" s="66">
        <v>121917</v>
      </c>
      <c r="M530" t="s">
        <v>699</v>
      </c>
    </row>
    <row r="531" spans="12:13">
      <c r="L531" s="66">
        <v>121920</v>
      </c>
      <c r="M531" t="s">
        <v>700</v>
      </c>
    </row>
    <row r="532" spans="12:13">
      <c r="L532" s="66">
        <v>121921</v>
      </c>
      <c r="M532" t="s">
        <v>701</v>
      </c>
    </row>
    <row r="533" spans="12:13">
      <c r="L533" s="66">
        <v>121922</v>
      </c>
      <c r="M533" t="s">
        <v>702</v>
      </c>
    </row>
    <row r="534" spans="12:13">
      <c r="L534" s="66">
        <v>121990</v>
      </c>
      <c r="M534" t="s">
        <v>703</v>
      </c>
    </row>
    <row r="535" spans="12:13">
      <c r="L535" s="66">
        <v>121991</v>
      </c>
      <c r="M535" t="s">
        <v>704</v>
      </c>
    </row>
    <row r="536" spans="12:13">
      <c r="L536" s="66">
        <v>121992</v>
      </c>
      <c r="M536" t="s">
        <v>705</v>
      </c>
    </row>
    <row r="537" spans="12:13">
      <c r="L537" s="66">
        <v>122000</v>
      </c>
      <c r="M537" t="s">
        <v>706</v>
      </c>
    </row>
    <row r="538" spans="12:13">
      <c r="L538" s="66">
        <v>122100</v>
      </c>
      <c r="M538" t="s">
        <v>707</v>
      </c>
    </row>
    <row r="539" spans="12:13">
      <c r="L539" s="66">
        <v>122110</v>
      </c>
      <c r="M539" t="s">
        <v>708</v>
      </c>
    </row>
    <row r="540" spans="12:13">
      <c r="L540" s="66">
        <v>122111</v>
      </c>
      <c r="M540" t="s">
        <v>709</v>
      </c>
    </row>
    <row r="541" spans="12:13">
      <c r="L541" s="66">
        <v>122112</v>
      </c>
      <c r="M541" t="s">
        <v>710</v>
      </c>
    </row>
    <row r="542" spans="12:13">
      <c r="L542" s="66">
        <v>122113</v>
      </c>
      <c r="M542" t="s">
        <v>711</v>
      </c>
    </row>
    <row r="543" spans="12:13">
      <c r="L543" s="66">
        <v>122119</v>
      </c>
      <c r="M543" t="s">
        <v>712</v>
      </c>
    </row>
    <row r="544" spans="12:13">
      <c r="L544" s="66">
        <v>122120</v>
      </c>
      <c r="M544" t="s">
        <v>713</v>
      </c>
    </row>
    <row r="545" spans="12:13">
      <c r="L545" s="66">
        <v>122121</v>
      </c>
      <c r="M545" t="s">
        <v>709</v>
      </c>
    </row>
    <row r="546" spans="12:13">
      <c r="L546" s="66">
        <v>122122</v>
      </c>
      <c r="M546" t="s">
        <v>711</v>
      </c>
    </row>
    <row r="547" spans="12:13">
      <c r="L547" s="66">
        <v>122129</v>
      </c>
      <c r="M547" t="s">
        <v>714</v>
      </c>
    </row>
    <row r="548" spans="12:13">
      <c r="L548" s="66">
        <v>122130</v>
      </c>
      <c r="M548" t="s">
        <v>715</v>
      </c>
    </row>
    <row r="549" spans="12:13">
      <c r="L549" s="66">
        <v>122131</v>
      </c>
      <c r="M549" t="s">
        <v>716</v>
      </c>
    </row>
    <row r="550" spans="12:13">
      <c r="L550" s="66">
        <v>122132</v>
      </c>
      <c r="M550" t="s">
        <v>717</v>
      </c>
    </row>
    <row r="551" spans="12:13">
      <c r="L551" s="66">
        <v>122133</v>
      </c>
      <c r="M551" t="s">
        <v>718</v>
      </c>
    </row>
    <row r="552" spans="12:13">
      <c r="L552" s="66">
        <v>122139</v>
      </c>
      <c r="M552" t="s">
        <v>719</v>
      </c>
    </row>
    <row r="553" spans="12:13">
      <c r="L553" s="66">
        <v>122140</v>
      </c>
      <c r="M553" t="s">
        <v>720</v>
      </c>
    </row>
    <row r="554" spans="12:13">
      <c r="L554" s="66">
        <v>122141</v>
      </c>
      <c r="M554" t="s">
        <v>721</v>
      </c>
    </row>
    <row r="555" spans="12:13">
      <c r="L555" s="66">
        <v>122142</v>
      </c>
      <c r="M555" t="s">
        <v>722</v>
      </c>
    </row>
    <row r="556" spans="12:13">
      <c r="L556" s="66">
        <v>122143</v>
      </c>
      <c r="M556" t="s">
        <v>723</v>
      </c>
    </row>
    <row r="557" spans="12:13">
      <c r="L557" s="66">
        <v>122144</v>
      </c>
      <c r="M557" t="s">
        <v>724</v>
      </c>
    </row>
    <row r="558" spans="12:13">
      <c r="L558" s="66">
        <v>122145</v>
      </c>
      <c r="M558" t="s">
        <v>725</v>
      </c>
    </row>
    <row r="559" spans="12:13">
      <c r="L559" s="66">
        <v>122146</v>
      </c>
      <c r="M559" t="s">
        <v>726</v>
      </c>
    </row>
    <row r="560" spans="12:13">
      <c r="L560" s="66">
        <v>122147</v>
      </c>
      <c r="M560" t="s">
        <v>727</v>
      </c>
    </row>
    <row r="561" spans="12:13">
      <c r="L561" s="66">
        <v>122148</v>
      </c>
      <c r="M561" t="s">
        <v>728</v>
      </c>
    </row>
    <row r="562" spans="12:13">
      <c r="L562" s="66">
        <v>122149</v>
      </c>
      <c r="M562" t="s">
        <v>729</v>
      </c>
    </row>
    <row r="563" spans="12:13">
      <c r="L563" s="66">
        <v>122150</v>
      </c>
      <c r="M563" t="s">
        <v>730</v>
      </c>
    </row>
    <row r="564" spans="12:13">
      <c r="L564" s="66">
        <v>122151</v>
      </c>
      <c r="M564" t="s">
        <v>731</v>
      </c>
    </row>
    <row r="565" spans="12:13">
      <c r="L565" s="66">
        <v>122152</v>
      </c>
      <c r="M565" t="s">
        <v>732</v>
      </c>
    </row>
    <row r="566" spans="12:13">
      <c r="L566" s="66">
        <v>122153</v>
      </c>
      <c r="M566" t="s">
        <v>733</v>
      </c>
    </row>
    <row r="567" spans="12:13">
      <c r="L567" s="66">
        <v>122154</v>
      </c>
      <c r="M567" t="s">
        <v>734</v>
      </c>
    </row>
    <row r="568" spans="12:13">
      <c r="L568" s="66">
        <v>122155</v>
      </c>
      <c r="M568" t="s">
        <v>735</v>
      </c>
    </row>
    <row r="569" spans="12:13">
      <c r="L569" s="66">
        <v>122156</v>
      </c>
      <c r="M569" t="s">
        <v>736</v>
      </c>
    </row>
    <row r="570" spans="12:13">
      <c r="L570" s="66">
        <v>122157</v>
      </c>
      <c r="M570" t="s">
        <v>737</v>
      </c>
    </row>
    <row r="571" spans="12:13">
      <c r="L571" s="66">
        <v>122159</v>
      </c>
      <c r="M571" t="s">
        <v>738</v>
      </c>
    </row>
    <row r="572" spans="12:13">
      <c r="L572" s="66">
        <v>122160</v>
      </c>
      <c r="M572" t="s">
        <v>739</v>
      </c>
    </row>
    <row r="573" spans="12:13">
      <c r="L573" s="66">
        <v>122161</v>
      </c>
      <c r="M573" t="s">
        <v>740</v>
      </c>
    </row>
    <row r="574" spans="12:13">
      <c r="L574" s="66">
        <v>122162</v>
      </c>
      <c r="M574" t="s">
        <v>741</v>
      </c>
    </row>
    <row r="575" spans="12:13">
      <c r="L575" s="66">
        <v>122163</v>
      </c>
      <c r="M575" t="s">
        <v>742</v>
      </c>
    </row>
    <row r="576" spans="12:13">
      <c r="L576" s="66">
        <v>122164</v>
      </c>
      <c r="M576" t="s">
        <v>743</v>
      </c>
    </row>
    <row r="577" spans="12:13">
      <c r="L577" s="66">
        <v>122165</v>
      </c>
      <c r="M577" t="s">
        <v>744</v>
      </c>
    </row>
    <row r="578" spans="12:13">
      <c r="L578" s="66">
        <v>122169</v>
      </c>
      <c r="M578" t="s">
        <v>745</v>
      </c>
    </row>
    <row r="579" spans="12:13">
      <c r="L579" s="66">
        <v>122190</v>
      </c>
      <c r="M579" t="s">
        <v>746</v>
      </c>
    </row>
    <row r="580" spans="12:13">
      <c r="L580" s="66">
        <v>122191</v>
      </c>
      <c r="M580" t="s">
        <v>747</v>
      </c>
    </row>
    <row r="581" spans="12:13">
      <c r="L581" s="66">
        <v>122192</v>
      </c>
      <c r="M581" t="s">
        <v>748</v>
      </c>
    </row>
    <row r="582" spans="12:13">
      <c r="L582" s="66">
        <v>122193</v>
      </c>
      <c r="M582" t="s">
        <v>749</v>
      </c>
    </row>
    <row r="583" spans="12:13">
      <c r="L583" s="66">
        <v>122194</v>
      </c>
      <c r="M583" t="s">
        <v>750</v>
      </c>
    </row>
    <row r="584" spans="12:13">
      <c r="L584" s="66">
        <v>122195</v>
      </c>
      <c r="M584" t="s">
        <v>751</v>
      </c>
    </row>
    <row r="585" spans="12:13">
      <c r="L585" s="66">
        <v>122196</v>
      </c>
      <c r="M585" t="s">
        <v>752</v>
      </c>
    </row>
    <row r="586" spans="12:13">
      <c r="L586" s="66">
        <v>122197</v>
      </c>
      <c r="M586" t="s">
        <v>737</v>
      </c>
    </row>
    <row r="587" spans="12:13">
      <c r="L587" s="66">
        <v>122198</v>
      </c>
      <c r="M587" t="s">
        <v>753</v>
      </c>
    </row>
    <row r="588" spans="12:13">
      <c r="L588" s="66">
        <v>122199</v>
      </c>
      <c r="M588" t="s">
        <v>754</v>
      </c>
    </row>
    <row r="589" spans="12:13">
      <c r="L589" s="66">
        <v>123000</v>
      </c>
      <c r="M589" t="s">
        <v>755</v>
      </c>
    </row>
    <row r="590" spans="12:13">
      <c r="L590" s="66">
        <v>123100</v>
      </c>
      <c r="M590" t="s">
        <v>756</v>
      </c>
    </row>
    <row r="591" spans="12:13">
      <c r="L591" s="66">
        <v>123110</v>
      </c>
      <c r="M591" t="s">
        <v>757</v>
      </c>
    </row>
    <row r="592" spans="12:13">
      <c r="L592" s="66">
        <v>123111</v>
      </c>
      <c r="M592" t="s">
        <v>758</v>
      </c>
    </row>
    <row r="593" spans="12:13">
      <c r="L593" s="66">
        <v>123112</v>
      </c>
      <c r="M593" t="s">
        <v>759</v>
      </c>
    </row>
    <row r="594" spans="12:13">
      <c r="L594" s="66">
        <v>123113</v>
      </c>
      <c r="M594" t="s">
        <v>760</v>
      </c>
    </row>
    <row r="595" spans="12:13">
      <c r="L595" s="66">
        <v>123119</v>
      </c>
      <c r="M595" t="s">
        <v>761</v>
      </c>
    </row>
    <row r="596" spans="12:13">
      <c r="L596" s="66">
        <v>123120</v>
      </c>
      <c r="M596" t="s">
        <v>762</v>
      </c>
    </row>
    <row r="597" spans="12:13">
      <c r="L597" s="66">
        <v>123121</v>
      </c>
      <c r="M597" t="s">
        <v>763</v>
      </c>
    </row>
    <row r="598" spans="12:13">
      <c r="L598" s="66">
        <v>123122</v>
      </c>
      <c r="M598" t="s">
        <v>764</v>
      </c>
    </row>
    <row r="599" spans="12:13">
      <c r="L599" s="66">
        <v>123129</v>
      </c>
      <c r="M599" t="s">
        <v>765</v>
      </c>
    </row>
    <row r="600" spans="12:13">
      <c r="L600" s="66">
        <v>123130</v>
      </c>
      <c r="M600" t="s">
        <v>737</v>
      </c>
    </row>
    <row r="601" spans="12:13">
      <c r="L601" s="66">
        <v>123131</v>
      </c>
      <c r="M601" t="s">
        <v>737</v>
      </c>
    </row>
    <row r="602" spans="12:13">
      <c r="L602" s="66">
        <v>123190</v>
      </c>
      <c r="M602" t="s">
        <v>766</v>
      </c>
    </row>
    <row r="603" spans="12:13">
      <c r="L603" s="66">
        <v>123191</v>
      </c>
      <c r="M603" t="s">
        <v>766</v>
      </c>
    </row>
    <row r="604" spans="12:13">
      <c r="L604" s="66">
        <v>123200</v>
      </c>
      <c r="M604" t="s">
        <v>767</v>
      </c>
    </row>
    <row r="605" spans="12:13">
      <c r="L605" s="66">
        <v>123210</v>
      </c>
      <c r="M605" t="s">
        <v>768</v>
      </c>
    </row>
    <row r="606" spans="12:13">
      <c r="L606" s="66">
        <v>123211</v>
      </c>
      <c r="M606" t="s">
        <v>768</v>
      </c>
    </row>
    <row r="607" spans="12:13">
      <c r="L607" s="66">
        <v>123220</v>
      </c>
      <c r="M607" t="s">
        <v>769</v>
      </c>
    </row>
    <row r="608" spans="12:13">
      <c r="L608" s="66">
        <v>123221</v>
      </c>
      <c r="M608" t="s">
        <v>769</v>
      </c>
    </row>
    <row r="609" spans="12:13">
      <c r="L609" s="66">
        <v>123230</v>
      </c>
      <c r="M609" t="s">
        <v>770</v>
      </c>
    </row>
    <row r="610" spans="12:13">
      <c r="L610" s="66">
        <v>123231</v>
      </c>
      <c r="M610" t="s">
        <v>770</v>
      </c>
    </row>
    <row r="611" spans="12:13">
      <c r="L611" s="66">
        <v>123240</v>
      </c>
      <c r="M611" t="s">
        <v>771</v>
      </c>
    </row>
    <row r="612" spans="12:13">
      <c r="L612" s="66">
        <v>123241</v>
      </c>
      <c r="M612" t="s">
        <v>771</v>
      </c>
    </row>
    <row r="613" spans="12:13">
      <c r="L613" s="66">
        <v>123250</v>
      </c>
      <c r="M613" t="s">
        <v>772</v>
      </c>
    </row>
    <row r="614" spans="12:13">
      <c r="L614" s="66">
        <v>123251</v>
      </c>
      <c r="M614" t="s">
        <v>772</v>
      </c>
    </row>
    <row r="615" spans="12:13">
      <c r="L615" s="66">
        <v>123260</v>
      </c>
      <c r="M615" t="s">
        <v>773</v>
      </c>
    </row>
    <row r="616" spans="12:13">
      <c r="L616" s="66">
        <v>123261</v>
      </c>
      <c r="M616" t="s">
        <v>773</v>
      </c>
    </row>
    <row r="617" spans="12:13">
      <c r="L617" s="66">
        <v>123290</v>
      </c>
      <c r="M617" t="s">
        <v>774</v>
      </c>
    </row>
    <row r="618" spans="12:13">
      <c r="L618" s="66">
        <v>123291</v>
      </c>
      <c r="M618" t="s">
        <v>774</v>
      </c>
    </row>
    <row r="619" spans="12:13">
      <c r="L619" s="66">
        <v>123300</v>
      </c>
      <c r="M619" t="s">
        <v>775</v>
      </c>
    </row>
    <row r="620" spans="12:13">
      <c r="L620" s="66">
        <v>123310</v>
      </c>
      <c r="M620" t="s">
        <v>776</v>
      </c>
    </row>
    <row r="621" spans="12:13">
      <c r="L621" s="66">
        <v>123311</v>
      </c>
      <c r="M621" t="s">
        <v>776</v>
      </c>
    </row>
    <row r="622" spans="12:13">
      <c r="L622" s="66">
        <v>123320</v>
      </c>
      <c r="M622" t="s">
        <v>701</v>
      </c>
    </row>
    <row r="623" spans="12:13">
      <c r="L623" s="66">
        <v>123321</v>
      </c>
      <c r="M623" t="s">
        <v>701</v>
      </c>
    </row>
    <row r="624" spans="12:13">
      <c r="L624" s="66">
        <v>123330</v>
      </c>
      <c r="M624" t="s">
        <v>777</v>
      </c>
    </row>
    <row r="625" spans="12:13">
      <c r="L625" s="66">
        <v>123331</v>
      </c>
      <c r="M625" t="s">
        <v>777</v>
      </c>
    </row>
    <row r="626" spans="12:13">
      <c r="L626" s="66">
        <v>123340</v>
      </c>
      <c r="M626" t="s">
        <v>778</v>
      </c>
    </row>
    <row r="627" spans="12:13">
      <c r="L627" s="66">
        <v>123341</v>
      </c>
      <c r="M627" t="s">
        <v>778</v>
      </c>
    </row>
    <row r="628" spans="12:13">
      <c r="L628" s="66">
        <v>123350</v>
      </c>
      <c r="M628" t="s">
        <v>779</v>
      </c>
    </row>
    <row r="629" spans="12:13">
      <c r="L629" s="66">
        <v>123351</v>
      </c>
      <c r="M629" t="s">
        <v>779</v>
      </c>
    </row>
    <row r="630" spans="12:13">
      <c r="L630" s="66">
        <v>123360</v>
      </c>
      <c r="M630" t="s">
        <v>780</v>
      </c>
    </row>
    <row r="631" spans="12:13">
      <c r="L631" s="66">
        <v>123361</v>
      </c>
      <c r="M631" t="s">
        <v>780</v>
      </c>
    </row>
    <row r="632" spans="12:13">
      <c r="L632" s="66">
        <v>123370</v>
      </c>
      <c r="M632" t="s">
        <v>781</v>
      </c>
    </row>
    <row r="633" spans="12:13">
      <c r="L633" s="66">
        <v>123371</v>
      </c>
      <c r="M633" t="s">
        <v>781</v>
      </c>
    </row>
    <row r="634" spans="12:13">
      <c r="L634" s="66">
        <v>123380</v>
      </c>
      <c r="M634" t="s">
        <v>782</v>
      </c>
    </row>
    <row r="635" spans="12:13">
      <c r="L635" s="66">
        <v>123381</v>
      </c>
      <c r="M635" t="s">
        <v>782</v>
      </c>
    </row>
    <row r="636" spans="12:13">
      <c r="L636" s="66">
        <v>123390</v>
      </c>
      <c r="M636" t="s">
        <v>783</v>
      </c>
    </row>
    <row r="637" spans="12:13">
      <c r="L637" s="66">
        <v>123391</v>
      </c>
      <c r="M637" t="s">
        <v>783</v>
      </c>
    </row>
    <row r="638" spans="12:13">
      <c r="L638" s="66">
        <v>123900</v>
      </c>
      <c r="M638" t="s">
        <v>784</v>
      </c>
    </row>
    <row r="639" spans="12:13">
      <c r="L639" s="66">
        <v>123910</v>
      </c>
      <c r="M639" t="s">
        <v>785</v>
      </c>
    </row>
    <row r="640" spans="12:13">
      <c r="L640" s="66">
        <v>123911</v>
      </c>
      <c r="M640" t="s">
        <v>785</v>
      </c>
    </row>
    <row r="641" spans="12:13">
      <c r="L641" s="66">
        <v>123920</v>
      </c>
      <c r="M641" t="s">
        <v>786</v>
      </c>
    </row>
    <row r="642" spans="12:13">
      <c r="L642" s="66">
        <v>123921</v>
      </c>
      <c r="M642" t="s">
        <v>786</v>
      </c>
    </row>
    <row r="643" spans="12:13">
      <c r="L643" s="66">
        <v>123930</v>
      </c>
      <c r="M643" t="s">
        <v>787</v>
      </c>
    </row>
    <row r="644" spans="12:13">
      <c r="L644" s="66">
        <v>123931</v>
      </c>
      <c r="M644" t="s">
        <v>787</v>
      </c>
    </row>
    <row r="645" spans="12:13">
      <c r="L645" s="66">
        <v>123940</v>
      </c>
      <c r="M645" t="s">
        <v>788</v>
      </c>
    </row>
    <row r="646" spans="12:13">
      <c r="L646" s="66">
        <v>123941</v>
      </c>
      <c r="M646" t="s">
        <v>788</v>
      </c>
    </row>
    <row r="647" spans="12:13">
      <c r="L647" s="66">
        <v>123950</v>
      </c>
      <c r="M647" t="s">
        <v>789</v>
      </c>
    </row>
    <row r="648" spans="12:13">
      <c r="L648" s="66">
        <v>123951</v>
      </c>
      <c r="M648" t="s">
        <v>789</v>
      </c>
    </row>
    <row r="649" spans="12:13">
      <c r="L649" s="66">
        <v>123960</v>
      </c>
      <c r="M649" t="s">
        <v>790</v>
      </c>
    </row>
    <row r="650" spans="12:13">
      <c r="L650" s="66">
        <v>123961</v>
      </c>
      <c r="M650" t="s">
        <v>791</v>
      </c>
    </row>
    <row r="651" spans="12:13">
      <c r="L651" s="66">
        <v>123962</v>
      </c>
      <c r="M651" t="s">
        <v>792</v>
      </c>
    </row>
    <row r="652" spans="12:13">
      <c r="L652" s="66">
        <v>123963</v>
      </c>
      <c r="M652" t="s">
        <v>793</v>
      </c>
    </row>
    <row r="653" spans="12:13">
      <c r="L653" s="66">
        <v>123964</v>
      </c>
      <c r="M653" t="s">
        <v>794</v>
      </c>
    </row>
    <row r="654" spans="12:13">
      <c r="L654" s="66">
        <v>123965</v>
      </c>
      <c r="M654" t="s">
        <v>795</v>
      </c>
    </row>
    <row r="655" spans="12:13">
      <c r="L655" s="66">
        <v>123966</v>
      </c>
      <c r="M655" t="s">
        <v>796</v>
      </c>
    </row>
    <row r="656" spans="12:13">
      <c r="L656" s="66">
        <v>123967</v>
      </c>
      <c r="M656" t="s">
        <v>797</v>
      </c>
    </row>
    <row r="657" spans="12:13">
      <c r="L657" s="66">
        <v>123968</v>
      </c>
      <c r="M657" t="s">
        <v>798</v>
      </c>
    </row>
    <row r="658" spans="12:13">
      <c r="L658" s="66">
        <v>123969</v>
      </c>
      <c r="M658" t="s">
        <v>799</v>
      </c>
    </row>
    <row r="659" spans="12:13">
      <c r="L659" s="66">
        <v>123990</v>
      </c>
      <c r="M659" t="s">
        <v>800</v>
      </c>
    </row>
    <row r="660" spans="12:13">
      <c r="L660" s="66">
        <v>123991</v>
      </c>
      <c r="M660" t="s">
        <v>800</v>
      </c>
    </row>
    <row r="661" spans="12:13">
      <c r="L661" s="66">
        <v>130000</v>
      </c>
      <c r="M661" t="s">
        <v>801</v>
      </c>
    </row>
    <row r="662" spans="12:13">
      <c r="L662" s="66">
        <v>131000</v>
      </c>
      <c r="M662" t="s">
        <v>801</v>
      </c>
    </row>
    <row r="663" spans="12:13">
      <c r="L663" s="66">
        <v>131100</v>
      </c>
      <c r="M663" t="s">
        <v>802</v>
      </c>
    </row>
    <row r="664" spans="12:13">
      <c r="L664" s="66">
        <v>131110</v>
      </c>
      <c r="M664" t="s">
        <v>802</v>
      </c>
    </row>
    <row r="665" spans="12:13">
      <c r="L665" s="66">
        <v>131111</v>
      </c>
      <c r="M665" t="s">
        <v>803</v>
      </c>
    </row>
    <row r="666" spans="12:13">
      <c r="L666" s="66">
        <v>131112</v>
      </c>
      <c r="M666" t="s">
        <v>804</v>
      </c>
    </row>
    <row r="667" spans="12:13">
      <c r="L667" s="66">
        <v>131113</v>
      </c>
      <c r="M667" t="s">
        <v>805</v>
      </c>
    </row>
    <row r="668" spans="12:13">
      <c r="L668" s="66">
        <v>131114</v>
      </c>
      <c r="M668" t="s">
        <v>806</v>
      </c>
    </row>
    <row r="669" spans="12:13">
      <c r="L669" s="66">
        <v>131119</v>
      </c>
      <c r="M669" t="s">
        <v>807</v>
      </c>
    </row>
    <row r="670" spans="12:13">
      <c r="L670" s="66">
        <v>131200</v>
      </c>
      <c r="M670" t="s">
        <v>808</v>
      </c>
    </row>
    <row r="671" spans="12:13">
      <c r="L671" s="66">
        <v>131210</v>
      </c>
      <c r="M671" t="s">
        <v>808</v>
      </c>
    </row>
    <row r="672" spans="12:13">
      <c r="L672" s="66">
        <v>131211</v>
      </c>
      <c r="M672" t="s">
        <v>809</v>
      </c>
    </row>
    <row r="673" spans="12:13">
      <c r="L673" s="66">
        <v>131212</v>
      </c>
      <c r="M673" t="s">
        <v>810</v>
      </c>
    </row>
    <row r="674" spans="12:13">
      <c r="L674" s="66">
        <v>131300</v>
      </c>
      <c r="M674" t="s">
        <v>811</v>
      </c>
    </row>
    <row r="675" spans="12:13">
      <c r="L675" s="66">
        <v>131310</v>
      </c>
      <c r="M675" t="s">
        <v>811</v>
      </c>
    </row>
    <row r="676" spans="12:13">
      <c r="L676" s="66">
        <v>131311</v>
      </c>
      <c r="M676" t="s">
        <v>812</v>
      </c>
    </row>
    <row r="677" spans="12:13">
      <c r="L677" s="66">
        <v>131312</v>
      </c>
      <c r="M677" t="s">
        <v>811</v>
      </c>
    </row>
    <row r="678" spans="12:13">
      <c r="L678" s="66">
        <v>200000</v>
      </c>
      <c r="M678" t="s">
        <v>813</v>
      </c>
    </row>
    <row r="679" spans="12:13">
      <c r="L679" s="67">
        <v>210000</v>
      </c>
      <c r="M679" s="63" t="s">
        <v>814</v>
      </c>
    </row>
    <row r="680" spans="12:13">
      <c r="L680" s="66">
        <v>211000</v>
      </c>
      <c r="M680" t="s">
        <v>815</v>
      </c>
    </row>
    <row r="681" spans="12:13">
      <c r="L681" s="66">
        <v>211100</v>
      </c>
      <c r="M681" t="s">
        <v>816</v>
      </c>
    </row>
    <row r="682" spans="12:13">
      <c r="L682" s="66">
        <v>211110</v>
      </c>
      <c r="M682" t="s">
        <v>816</v>
      </c>
    </row>
    <row r="683" spans="12:13">
      <c r="L683" s="66">
        <v>211111</v>
      </c>
      <c r="M683" t="s">
        <v>816</v>
      </c>
    </row>
    <row r="684" spans="12:13">
      <c r="L684" s="66">
        <v>211200</v>
      </c>
      <c r="M684" t="s">
        <v>817</v>
      </c>
    </row>
    <row r="685" spans="12:13">
      <c r="L685" s="66">
        <v>211210</v>
      </c>
      <c r="M685" t="s">
        <v>818</v>
      </c>
    </row>
    <row r="686" spans="12:13">
      <c r="L686" s="66">
        <v>211211</v>
      </c>
      <c r="M686" t="s">
        <v>818</v>
      </c>
    </row>
    <row r="687" spans="12:13">
      <c r="L687" s="66">
        <v>211220</v>
      </c>
      <c r="M687" t="s">
        <v>819</v>
      </c>
    </row>
    <row r="688" spans="12:13">
      <c r="L688" s="66">
        <v>211221</v>
      </c>
      <c r="M688" t="s">
        <v>819</v>
      </c>
    </row>
    <row r="689" spans="12:13">
      <c r="L689" s="66">
        <v>211230</v>
      </c>
      <c r="M689" t="s">
        <v>820</v>
      </c>
    </row>
    <row r="690" spans="12:13">
      <c r="L690" s="66">
        <v>211231</v>
      </c>
      <c r="M690" t="s">
        <v>820</v>
      </c>
    </row>
    <row r="691" spans="12:13">
      <c r="L691" s="66">
        <v>211240</v>
      </c>
      <c r="M691" t="s">
        <v>821</v>
      </c>
    </row>
    <row r="692" spans="12:13">
      <c r="L692" s="66">
        <v>211241</v>
      </c>
      <c r="M692" t="s">
        <v>821</v>
      </c>
    </row>
    <row r="693" spans="12:13">
      <c r="L693" s="66">
        <v>211250</v>
      </c>
      <c r="M693" t="s">
        <v>822</v>
      </c>
    </row>
    <row r="694" spans="12:13">
      <c r="L694" s="66">
        <v>211251</v>
      </c>
      <c r="M694" t="s">
        <v>823</v>
      </c>
    </row>
    <row r="695" spans="12:13">
      <c r="L695" s="66">
        <v>211252</v>
      </c>
      <c r="M695" t="s">
        <v>824</v>
      </c>
    </row>
    <row r="696" spans="12:13">
      <c r="L696" s="66">
        <v>211255</v>
      </c>
      <c r="M696" t="s">
        <v>825</v>
      </c>
    </row>
    <row r="697" spans="12:13">
      <c r="L697" s="66">
        <v>211300</v>
      </c>
      <c r="M697" t="s">
        <v>826</v>
      </c>
    </row>
    <row r="698" spans="12:13">
      <c r="L698" s="66">
        <v>211310</v>
      </c>
      <c r="M698" t="s">
        <v>826</v>
      </c>
    </row>
    <row r="699" spans="12:13">
      <c r="L699" s="66">
        <v>211311</v>
      </c>
      <c r="M699" t="s">
        <v>827</v>
      </c>
    </row>
    <row r="700" spans="12:13">
      <c r="L700" s="66">
        <v>211390</v>
      </c>
      <c r="M700" t="s">
        <v>828</v>
      </c>
    </row>
    <row r="701" spans="12:13">
      <c r="L701" s="66">
        <v>211391</v>
      </c>
      <c r="M701" t="s">
        <v>828</v>
      </c>
    </row>
    <row r="702" spans="12:13">
      <c r="L702" s="66">
        <v>211400</v>
      </c>
      <c r="M702" t="s">
        <v>829</v>
      </c>
    </row>
    <row r="703" spans="12:13">
      <c r="L703" s="66">
        <v>211410</v>
      </c>
      <c r="M703" t="s">
        <v>829</v>
      </c>
    </row>
    <row r="704" spans="12:13">
      <c r="L704" s="66">
        <v>211411</v>
      </c>
      <c r="M704" t="s">
        <v>829</v>
      </c>
    </row>
    <row r="705" spans="12:13">
      <c r="L705" s="66">
        <v>211500</v>
      </c>
      <c r="M705" t="s">
        <v>830</v>
      </c>
    </row>
    <row r="706" spans="12:13">
      <c r="L706" s="66">
        <v>211510</v>
      </c>
      <c r="M706" t="s">
        <v>830</v>
      </c>
    </row>
    <row r="707" spans="12:13">
      <c r="L707" s="66">
        <v>211511</v>
      </c>
      <c r="M707" t="s">
        <v>830</v>
      </c>
    </row>
    <row r="708" spans="12:13">
      <c r="L708" s="66">
        <v>211600</v>
      </c>
      <c r="M708" t="s">
        <v>831</v>
      </c>
    </row>
    <row r="709" spans="12:13">
      <c r="L709" s="66">
        <v>211610</v>
      </c>
      <c r="M709" t="s">
        <v>831</v>
      </c>
    </row>
    <row r="710" spans="12:13">
      <c r="L710" s="66">
        <v>211611</v>
      </c>
      <c r="M710" t="s">
        <v>831</v>
      </c>
    </row>
    <row r="711" spans="12:13">
      <c r="L711" s="66">
        <v>211700</v>
      </c>
      <c r="M711" t="s">
        <v>832</v>
      </c>
    </row>
    <row r="712" spans="12:13">
      <c r="L712" s="66">
        <v>211710</v>
      </c>
      <c r="M712" t="s">
        <v>832</v>
      </c>
    </row>
    <row r="713" spans="12:13">
      <c r="L713" s="66">
        <v>211711</v>
      </c>
      <c r="M713" t="s">
        <v>832</v>
      </c>
    </row>
    <row r="714" spans="12:13">
      <c r="L714" s="66">
        <v>211800</v>
      </c>
      <c r="M714" t="s">
        <v>833</v>
      </c>
    </row>
    <row r="715" spans="12:13">
      <c r="L715" s="66">
        <v>211810</v>
      </c>
      <c r="M715" t="s">
        <v>833</v>
      </c>
    </row>
    <row r="716" spans="12:13">
      <c r="L716" s="66">
        <v>211811</v>
      </c>
      <c r="M716" t="s">
        <v>833</v>
      </c>
    </row>
    <row r="717" spans="12:13">
      <c r="L717" s="66">
        <v>211900</v>
      </c>
      <c r="M717" t="s">
        <v>834</v>
      </c>
    </row>
    <row r="718" spans="12:13">
      <c r="L718" s="66">
        <v>211910</v>
      </c>
      <c r="M718" t="s">
        <v>834</v>
      </c>
    </row>
    <row r="719" spans="12:13">
      <c r="L719" s="66">
        <v>211911</v>
      </c>
      <c r="M719" t="s">
        <v>835</v>
      </c>
    </row>
    <row r="720" spans="12:13">
      <c r="L720" s="66">
        <v>211912</v>
      </c>
      <c r="M720" t="s">
        <v>836</v>
      </c>
    </row>
    <row r="721" spans="12:13">
      <c r="L721" s="66">
        <v>211913</v>
      </c>
      <c r="M721" t="s">
        <v>837</v>
      </c>
    </row>
    <row r="722" spans="12:13">
      <c r="L722" s="66">
        <v>212000</v>
      </c>
      <c r="M722" t="s">
        <v>838</v>
      </c>
    </row>
    <row r="723" spans="12:13">
      <c r="L723" s="66">
        <v>212100</v>
      </c>
      <c r="M723" t="s">
        <v>839</v>
      </c>
    </row>
    <row r="724" spans="12:13">
      <c r="L724" s="66">
        <v>212110</v>
      </c>
      <c r="M724" t="s">
        <v>839</v>
      </c>
    </row>
    <row r="725" spans="12:13">
      <c r="L725" s="66">
        <v>212111</v>
      </c>
      <c r="M725" t="s">
        <v>839</v>
      </c>
    </row>
    <row r="726" spans="12:13">
      <c r="L726" s="66">
        <v>212200</v>
      </c>
      <c r="M726" t="s">
        <v>840</v>
      </c>
    </row>
    <row r="727" spans="12:13">
      <c r="L727" s="66">
        <v>212210</v>
      </c>
      <c r="M727" t="s">
        <v>841</v>
      </c>
    </row>
    <row r="728" spans="12:13">
      <c r="L728" s="66">
        <v>212211</v>
      </c>
      <c r="M728" t="s">
        <v>841</v>
      </c>
    </row>
    <row r="729" spans="12:13">
      <c r="L729" s="66">
        <v>212220</v>
      </c>
      <c r="M729" t="s">
        <v>842</v>
      </c>
    </row>
    <row r="730" spans="12:13">
      <c r="L730" s="66">
        <v>212221</v>
      </c>
      <c r="M730" t="s">
        <v>842</v>
      </c>
    </row>
    <row r="731" spans="12:13">
      <c r="L731" s="66">
        <v>212290</v>
      </c>
      <c r="M731" t="s">
        <v>843</v>
      </c>
    </row>
    <row r="732" spans="12:13">
      <c r="L732" s="66">
        <v>212291</v>
      </c>
      <c r="M732" t="s">
        <v>843</v>
      </c>
    </row>
    <row r="733" spans="12:13">
      <c r="L733" s="66">
        <v>212300</v>
      </c>
      <c r="M733" t="s">
        <v>844</v>
      </c>
    </row>
    <row r="734" spans="12:13">
      <c r="L734" s="66">
        <v>212310</v>
      </c>
      <c r="M734" t="s">
        <v>845</v>
      </c>
    </row>
    <row r="735" spans="12:13">
      <c r="L735" s="66">
        <v>212311</v>
      </c>
      <c r="M735" t="s">
        <v>845</v>
      </c>
    </row>
    <row r="736" spans="12:13">
      <c r="L736" s="66">
        <v>212320</v>
      </c>
      <c r="M736" t="s">
        <v>846</v>
      </c>
    </row>
    <row r="737" spans="12:13">
      <c r="L737" s="66">
        <v>212321</v>
      </c>
      <c r="M737" t="s">
        <v>846</v>
      </c>
    </row>
    <row r="738" spans="12:13">
      <c r="L738" s="66">
        <v>212330</v>
      </c>
      <c r="M738" t="s">
        <v>847</v>
      </c>
    </row>
    <row r="739" spans="12:13">
      <c r="L739" s="66">
        <v>212331</v>
      </c>
      <c r="M739" t="s">
        <v>847</v>
      </c>
    </row>
    <row r="740" spans="12:13">
      <c r="L740" s="66">
        <v>212340</v>
      </c>
      <c r="M740" t="s">
        <v>848</v>
      </c>
    </row>
    <row r="741" spans="12:13">
      <c r="L741" s="66">
        <v>212341</v>
      </c>
      <c r="M741" t="s">
        <v>848</v>
      </c>
    </row>
    <row r="742" spans="12:13">
      <c r="L742" s="66">
        <v>212350</v>
      </c>
      <c r="M742" t="s">
        <v>849</v>
      </c>
    </row>
    <row r="743" spans="12:13">
      <c r="L743" s="66">
        <v>212351</v>
      </c>
      <c r="M743" t="s">
        <v>849</v>
      </c>
    </row>
    <row r="744" spans="12:13">
      <c r="L744" s="66">
        <v>212390</v>
      </c>
      <c r="M744" t="s">
        <v>850</v>
      </c>
    </row>
    <row r="745" spans="12:13">
      <c r="L745" s="66">
        <v>212391</v>
      </c>
      <c r="M745" t="s">
        <v>850</v>
      </c>
    </row>
    <row r="746" spans="12:13">
      <c r="L746" s="66">
        <v>212400</v>
      </c>
      <c r="M746" t="s">
        <v>851</v>
      </c>
    </row>
    <row r="747" spans="12:13">
      <c r="L747" s="66">
        <v>212410</v>
      </c>
      <c r="M747" t="s">
        <v>852</v>
      </c>
    </row>
    <row r="748" spans="12:13">
      <c r="L748" s="66">
        <v>212411</v>
      </c>
      <c r="M748" t="s">
        <v>852</v>
      </c>
    </row>
    <row r="749" spans="12:13">
      <c r="L749" s="66">
        <v>212490</v>
      </c>
      <c r="M749" t="s">
        <v>853</v>
      </c>
    </row>
    <row r="750" spans="12:13">
      <c r="L750" s="66">
        <v>212491</v>
      </c>
      <c r="M750" t="s">
        <v>853</v>
      </c>
    </row>
    <row r="751" spans="12:13">
      <c r="L751" s="66">
        <v>212500</v>
      </c>
      <c r="M751" t="s">
        <v>854</v>
      </c>
    </row>
    <row r="752" spans="12:13">
      <c r="L752" s="66">
        <v>212510</v>
      </c>
      <c r="M752" t="s">
        <v>854</v>
      </c>
    </row>
    <row r="753" spans="12:13">
      <c r="L753" s="66">
        <v>212511</v>
      </c>
      <c r="M753" t="s">
        <v>854</v>
      </c>
    </row>
    <row r="754" spans="12:13">
      <c r="L754" s="66">
        <v>212600</v>
      </c>
      <c r="M754" t="s">
        <v>855</v>
      </c>
    </row>
    <row r="755" spans="12:13">
      <c r="L755" s="66">
        <v>212610</v>
      </c>
      <c r="M755" t="s">
        <v>855</v>
      </c>
    </row>
    <row r="756" spans="12:13">
      <c r="L756" s="66">
        <v>212611</v>
      </c>
      <c r="M756" t="s">
        <v>855</v>
      </c>
    </row>
    <row r="757" spans="12:13">
      <c r="L757" s="66">
        <v>213000</v>
      </c>
      <c r="M757" t="s">
        <v>856</v>
      </c>
    </row>
    <row r="758" spans="12:13">
      <c r="L758" s="66">
        <v>213100</v>
      </c>
      <c r="M758" t="s">
        <v>856</v>
      </c>
    </row>
    <row r="759" spans="12:13">
      <c r="L759" s="66">
        <v>213110</v>
      </c>
      <c r="M759" t="s">
        <v>856</v>
      </c>
    </row>
    <row r="760" spans="12:13">
      <c r="L760" s="66">
        <v>213111</v>
      </c>
      <c r="M760" t="s">
        <v>856</v>
      </c>
    </row>
    <row r="761" spans="12:13">
      <c r="L761" s="66">
        <v>220000</v>
      </c>
      <c r="M761" t="s">
        <v>857</v>
      </c>
    </row>
    <row r="762" spans="12:13">
      <c r="L762" s="66">
        <v>221000</v>
      </c>
      <c r="M762" t="s">
        <v>858</v>
      </c>
    </row>
    <row r="763" spans="12:13">
      <c r="L763" s="66">
        <v>221100</v>
      </c>
      <c r="M763" t="s">
        <v>859</v>
      </c>
    </row>
    <row r="764" spans="12:13">
      <c r="L764" s="66">
        <v>221110</v>
      </c>
      <c r="M764" t="s">
        <v>859</v>
      </c>
    </row>
    <row r="765" spans="12:13">
      <c r="L765" s="66">
        <v>221111</v>
      </c>
      <c r="M765" t="s">
        <v>859</v>
      </c>
    </row>
    <row r="766" spans="12:13">
      <c r="L766" s="66">
        <v>221200</v>
      </c>
      <c r="M766" t="s">
        <v>860</v>
      </c>
    </row>
    <row r="767" spans="12:13">
      <c r="L767" s="66">
        <v>221210</v>
      </c>
      <c r="M767" t="s">
        <v>861</v>
      </c>
    </row>
    <row r="768" spans="12:13">
      <c r="L768" s="66">
        <v>221211</v>
      </c>
      <c r="M768" t="s">
        <v>861</v>
      </c>
    </row>
    <row r="769" spans="12:13">
      <c r="L769" s="66">
        <v>221220</v>
      </c>
      <c r="M769" t="s">
        <v>862</v>
      </c>
    </row>
    <row r="770" spans="12:13">
      <c r="L770" s="66">
        <v>221221</v>
      </c>
      <c r="M770" t="s">
        <v>862</v>
      </c>
    </row>
    <row r="771" spans="12:13">
      <c r="L771" s="66">
        <v>221230</v>
      </c>
      <c r="M771" t="s">
        <v>863</v>
      </c>
    </row>
    <row r="772" spans="12:13">
      <c r="L772" s="66">
        <v>221231</v>
      </c>
      <c r="M772" t="s">
        <v>863</v>
      </c>
    </row>
    <row r="773" spans="12:13">
      <c r="L773" s="66">
        <v>221240</v>
      </c>
      <c r="M773" t="s">
        <v>864</v>
      </c>
    </row>
    <row r="774" spans="12:13">
      <c r="L774" s="66">
        <v>221241</v>
      </c>
      <c r="M774" t="s">
        <v>864</v>
      </c>
    </row>
    <row r="775" spans="12:13">
      <c r="L775" s="66">
        <v>221250</v>
      </c>
      <c r="M775" t="s">
        <v>865</v>
      </c>
    </row>
    <row r="776" spans="12:13">
      <c r="L776" s="66">
        <v>221251</v>
      </c>
      <c r="M776" t="s">
        <v>866</v>
      </c>
    </row>
    <row r="777" spans="12:13">
      <c r="L777" s="66">
        <v>221252</v>
      </c>
      <c r="M777" t="s">
        <v>867</v>
      </c>
    </row>
    <row r="778" spans="12:13">
      <c r="L778" s="66">
        <v>221255</v>
      </c>
      <c r="M778" t="s">
        <v>868</v>
      </c>
    </row>
    <row r="779" spans="12:13">
      <c r="L779" s="66">
        <v>221300</v>
      </c>
      <c r="M779" t="s">
        <v>869</v>
      </c>
    </row>
    <row r="780" spans="12:13">
      <c r="L780" s="66">
        <v>221310</v>
      </c>
      <c r="M780" t="s">
        <v>870</v>
      </c>
    </row>
    <row r="781" spans="12:13">
      <c r="L781" s="66">
        <v>221311</v>
      </c>
      <c r="M781" t="s">
        <v>870</v>
      </c>
    </row>
    <row r="782" spans="12:13">
      <c r="L782" s="66">
        <v>221390</v>
      </c>
      <c r="M782" t="s">
        <v>871</v>
      </c>
    </row>
    <row r="783" spans="12:13">
      <c r="L783" s="66">
        <v>221391</v>
      </c>
      <c r="M783" t="s">
        <v>871</v>
      </c>
    </row>
    <row r="784" spans="12:13">
      <c r="L784" s="66">
        <v>221400</v>
      </c>
      <c r="M784" t="s">
        <v>872</v>
      </c>
    </row>
    <row r="785" spans="12:13">
      <c r="L785" s="66">
        <v>221410</v>
      </c>
      <c r="M785" t="s">
        <v>872</v>
      </c>
    </row>
    <row r="786" spans="12:13">
      <c r="L786" s="66">
        <v>221411</v>
      </c>
      <c r="M786" t="s">
        <v>872</v>
      </c>
    </row>
    <row r="787" spans="12:13">
      <c r="L787" s="66">
        <v>221500</v>
      </c>
      <c r="M787" t="s">
        <v>873</v>
      </c>
    </row>
    <row r="788" spans="12:13">
      <c r="L788" s="66">
        <v>221510</v>
      </c>
      <c r="M788" t="s">
        <v>873</v>
      </c>
    </row>
    <row r="789" spans="12:13">
      <c r="L789" s="66">
        <v>221511</v>
      </c>
      <c r="M789" t="s">
        <v>873</v>
      </c>
    </row>
    <row r="790" spans="12:13">
      <c r="L790" s="66">
        <v>221600</v>
      </c>
      <c r="M790" t="s">
        <v>874</v>
      </c>
    </row>
    <row r="791" spans="12:13">
      <c r="L791" s="66">
        <v>221610</v>
      </c>
      <c r="M791" t="s">
        <v>874</v>
      </c>
    </row>
    <row r="792" spans="12:13">
      <c r="L792" s="66">
        <v>221611</v>
      </c>
      <c r="M792" t="s">
        <v>874</v>
      </c>
    </row>
    <row r="793" spans="12:13">
      <c r="L793" s="66">
        <v>221700</v>
      </c>
      <c r="M793" t="s">
        <v>875</v>
      </c>
    </row>
    <row r="794" spans="12:13">
      <c r="L794" s="66">
        <v>221710</v>
      </c>
      <c r="M794" t="s">
        <v>875</v>
      </c>
    </row>
    <row r="795" spans="12:13">
      <c r="L795" s="66">
        <v>221711</v>
      </c>
      <c r="M795" t="s">
        <v>875</v>
      </c>
    </row>
    <row r="796" spans="12:13">
      <c r="L796" s="66">
        <v>221800</v>
      </c>
      <c r="M796" t="s">
        <v>876</v>
      </c>
    </row>
    <row r="797" spans="12:13">
      <c r="L797" s="66">
        <v>221810</v>
      </c>
      <c r="M797" t="s">
        <v>876</v>
      </c>
    </row>
    <row r="798" spans="12:13">
      <c r="L798" s="66">
        <v>221811</v>
      </c>
      <c r="M798" t="s">
        <v>876</v>
      </c>
    </row>
    <row r="799" spans="12:13">
      <c r="L799" s="66">
        <v>222000</v>
      </c>
      <c r="M799" t="s">
        <v>877</v>
      </c>
    </row>
    <row r="800" spans="12:13">
      <c r="L800" s="66">
        <v>222100</v>
      </c>
      <c r="M800" t="s">
        <v>878</v>
      </c>
    </row>
    <row r="801" spans="12:13">
      <c r="L801" s="66">
        <v>222110</v>
      </c>
      <c r="M801" t="s">
        <v>878</v>
      </c>
    </row>
    <row r="802" spans="12:13">
      <c r="L802" s="66">
        <v>222111</v>
      </c>
      <c r="M802" t="s">
        <v>878</v>
      </c>
    </row>
    <row r="803" spans="12:13">
      <c r="L803" s="66">
        <v>222200</v>
      </c>
      <c r="M803" t="s">
        <v>879</v>
      </c>
    </row>
    <row r="804" spans="12:13">
      <c r="L804" s="66">
        <v>222210</v>
      </c>
      <c r="M804" t="s">
        <v>880</v>
      </c>
    </row>
    <row r="805" spans="12:13">
      <c r="L805" s="66">
        <v>222211</v>
      </c>
      <c r="M805" t="s">
        <v>880</v>
      </c>
    </row>
    <row r="806" spans="12:13">
      <c r="L806" s="66">
        <v>222220</v>
      </c>
      <c r="M806" t="s">
        <v>881</v>
      </c>
    </row>
    <row r="807" spans="12:13">
      <c r="L807" s="66">
        <v>222221</v>
      </c>
      <c r="M807" t="s">
        <v>881</v>
      </c>
    </row>
    <row r="808" spans="12:13">
      <c r="L808" s="66">
        <v>222290</v>
      </c>
      <c r="M808" t="s">
        <v>882</v>
      </c>
    </row>
    <row r="809" spans="12:13">
      <c r="L809" s="66">
        <v>222291</v>
      </c>
      <c r="M809" t="s">
        <v>882</v>
      </c>
    </row>
    <row r="810" spans="12:13">
      <c r="L810" s="66">
        <v>222300</v>
      </c>
      <c r="M810" t="s">
        <v>883</v>
      </c>
    </row>
    <row r="811" spans="12:13">
      <c r="L811" s="66">
        <v>222310</v>
      </c>
      <c r="M811" t="s">
        <v>884</v>
      </c>
    </row>
    <row r="812" spans="12:13">
      <c r="L812" s="66">
        <v>222311</v>
      </c>
      <c r="M812" t="s">
        <v>884</v>
      </c>
    </row>
    <row r="813" spans="12:13">
      <c r="L813" s="66">
        <v>222320</v>
      </c>
      <c r="M813" t="s">
        <v>885</v>
      </c>
    </row>
    <row r="814" spans="12:13">
      <c r="L814" s="66">
        <v>222321</v>
      </c>
      <c r="M814" t="s">
        <v>885</v>
      </c>
    </row>
    <row r="815" spans="12:13">
      <c r="L815" s="66">
        <v>222330</v>
      </c>
      <c r="M815" t="s">
        <v>886</v>
      </c>
    </row>
    <row r="816" spans="12:13">
      <c r="L816" s="66">
        <v>222331</v>
      </c>
      <c r="M816" t="s">
        <v>886</v>
      </c>
    </row>
    <row r="817" spans="12:13">
      <c r="L817" s="66">
        <v>222340</v>
      </c>
      <c r="M817" t="s">
        <v>887</v>
      </c>
    </row>
    <row r="818" spans="12:13">
      <c r="L818" s="66">
        <v>222341</v>
      </c>
      <c r="M818" t="s">
        <v>887</v>
      </c>
    </row>
    <row r="819" spans="12:13">
      <c r="L819" s="66">
        <v>222350</v>
      </c>
      <c r="M819" t="s">
        <v>888</v>
      </c>
    </row>
    <row r="820" spans="12:13">
      <c r="L820" s="66">
        <v>222351</v>
      </c>
      <c r="M820" t="s">
        <v>888</v>
      </c>
    </row>
    <row r="821" spans="12:13">
      <c r="L821" s="66">
        <v>222390</v>
      </c>
      <c r="M821" t="s">
        <v>889</v>
      </c>
    </row>
    <row r="822" spans="12:13">
      <c r="L822" s="66">
        <v>222391</v>
      </c>
      <c r="M822" t="s">
        <v>889</v>
      </c>
    </row>
    <row r="823" spans="12:13">
      <c r="L823" s="66">
        <v>222400</v>
      </c>
      <c r="M823" t="s">
        <v>890</v>
      </c>
    </row>
    <row r="824" spans="12:13">
      <c r="L824" s="66">
        <v>222410</v>
      </c>
      <c r="M824" t="s">
        <v>891</v>
      </c>
    </row>
    <row r="825" spans="12:13">
      <c r="L825" s="66">
        <v>222411</v>
      </c>
      <c r="M825" t="s">
        <v>891</v>
      </c>
    </row>
    <row r="826" spans="12:13">
      <c r="L826" s="66">
        <v>222490</v>
      </c>
      <c r="M826" t="s">
        <v>892</v>
      </c>
    </row>
    <row r="827" spans="12:13">
      <c r="L827" s="66">
        <v>222491</v>
      </c>
      <c r="M827" t="s">
        <v>892</v>
      </c>
    </row>
    <row r="828" spans="12:13">
      <c r="L828" s="66">
        <v>222500</v>
      </c>
      <c r="M828" t="s">
        <v>893</v>
      </c>
    </row>
    <row r="829" spans="12:13">
      <c r="L829" s="66">
        <v>222510</v>
      </c>
      <c r="M829" t="s">
        <v>893</v>
      </c>
    </row>
    <row r="830" spans="12:13">
      <c r="L830" s="66">
        <v>222511</v>
      </c>
      <c r="M830" t="s">
        <v>893</v>
      </c>
    </row>
    <row r="831" spans="12:13">
      <c r="L831" s="66">
        <v>222600</v>
      </c>
      <c r="M831" t="s">
        <v>894</v>
      </c>
    </row>
    <row r="832" spans="12:13">
      <c r="L832" s="66">
        <v>222610</v>
      </c>
      <c r="M832" t="s">
        <v>894</v>
      </c>
    </row>
    <row r="833" spans="12:13">
      <c r="L833" s="66">
        <v>222611</v>
      </c>
      <c r="M833" t="s">
        <v>894</v>
      </c>
    </row>
    <row r="834" spans="12:13">
      <c r="L834" s="66">
        <v>223000</v>
      </c>
      <c r="M834" t="s">
        <v>895</v>
      </c>
    </row>
    <row r="835" spans="12:13">
      <c r="L835" s="66">
        <v>223100</v>
      </c>
      <c r="M835" t="s">
        <v>895</v>
      </c>
    </row>
    <row r="836" spans="12:13">
      <c r="L836" s="66">
        <v>223110</v>
      </c>
      <c r="M836" t="s">
        <v>895</v>
      </c>
    </row>
    <row r="837" spans="12:13">
      <c r="L837" s="66">
        <v>223111</v>
      </c>
      <c r="M837" t="s">
        <v>895</v>
      </c>
    </row>
    <row r="838" spans="12:13">
      <c r="L838" s="66">
        <v>230000</v>
      </c>
      <c r="M838" t="s">
        <v>896</v>
      </c>
    </row>
    <row r="839" spans="12:13">
      <c r="L839" s="66">
        <v>231000</v>
      </c>
      <c r="M839" t="s">
        <v>897</v>
      </c>
    </row>
    <row r="840" spans="12:13">
      <c r="L840" s="66">
        <v>231100</v>
      </c>
      <c r="M840" t="s">
        <v>898</v>
      </c>
    </row>
    <row r="841" spans="12:13">
      <c r="L841" s="66">
        <v>231110</v>
      </c>
      <c r="M841" t="s">
        <v>898</v>
      </c>
    </row>
    <row r="842" spans="12:13">
      <c r="L842" s="66">
        <v>231111</v>
      </c>
      <c r="M842" t="s">
        <v>898</v>
      </c>
    </row>
    <row r="843" spans="12:13">
      <c r="L843" s="66">
        <v>231200</v>
      </c>
      <c r="M843" t="s">
        <v>899</v>
      </c>
    </row>
    <row r="844" spans="12:13">
      <c r="L844" s="66">
        <v>231210</v>
      </c>
      <c r="M844" t="s">
        <v>899</v>
      </c>
    </row>
    <row r="845" spans="12:13">
      <c r="L845" s="66">
        <v>231211</v>
      </c>
      <c r="M845" t="s">
        <v>899</v>
      </c>
    </row>
    <row r="846" spans="12:13">
      <c r="L846" s="66">
        <v>231300</v>
      </c>
      <c r="M846" t="s">
        <v>900</v>
      </c>
    </row>
    <row r="847" spans="12:13">
      <c r="L847" s="66">
        <v>231310</v>
      </c>
      <c r="M847" t="s">
        <v>900</v>
      </c>
    </row>
    <row r="848" spans="12:13">
      <c r="L848" s="66">
        <v>231311</v>
      </c>
      <c r="M848" t="s">
        <v>900</v>
      </c>
    </row>
    <row r="849" spans="12:13">
      <c r="L849" s="66">
        <v>231400</v>
      </c>
      <c r="M849" t="s">
        <v>901</v>
      </c>
    </row>
    <row r="850" spans="12:13">
      <c r="L850" s="66">
        <v>231410</v>
      </c>
      <c r="M850" t="s">
        <v>901</v>
      </c>
    </row>
    <row r="851" spans="12:13">
      <c r="L851" s="66">
        <v>231411</v>
      </c>
      <c r="M851" t="s">
        <v>901</v>
      </c>
    </row>
    <row r="852" spans="12:13">
      <c r="L852" s="66">
        <v>231500</v>
      </c>
      <c r="M852" t="s">
        <v>902</v>
      </c>
    </row>
    <row r="853" spans="12:13">
      <c r="L853" s="66">
        <v>231510</v>
      </c>
      <c r="M853" t="s">
        <v>902</v>
      </c>
    </row>
    <row r="854" spans="12:13">
      <c r="L854" s="66">
        <v>231511</v>
      </c>
      <c r="M854" t="s">
        <v>902</v>
      </c>
    </row>
    <row r="855" spans="12:13">
      <c r="L855" s="66">
        <v>232000</v>
      </c>
      <c r="M855" t="s">
        <v>903</v>
      </c>
    </row>
    <row r="856" spans="12:13">
      <c r="L856" s="66">
        <v>232100</v>
      </c>
      <c r="M856" t="s">
        <v>904</v>
      </c>
    </row>
    <row r="857" spans="12:13">
      <c r="L857" s="66">
        <v>232110</v>
      </c>
      <c r="M857" t="s">
        <v>904</v>
      </c>
    </row>
    <row r="858" spans="12:13">
      <c r="L858" s="66">
        <v>232111</v>
      </c>
      <c r="M858" t="s">
        <v>904</v>
      </c>
    </row>
    <row r="859" spans="12:13">
      <c r="L859" s="66">
        <v>232200</v>
      </c>
      <c r="M859" t="s">
        <v>905</v>
      </c>
    </row>
    <row r="860" spans="12:13">
      <c r="L860" s="66">
        <v>232210</v>
      </c>
      <c r="M860" t="s">
        <v>905</v>
      </c>
    </row>
    <row r="861" spans="12:13">
      <c r="L861" s="66">
        <v>232211</v>
      </c>
      <c r="M861" t="s">
        <v>905</v>
      </c>
    </row>
    <row r="862" spans="12:13">
      <c r="L862" s="66">
        <v>232300</v>
      </c>
      <c r="M862" t="s">
        <v>906</v>
      </c>
    </row>
    <row r="863" spans="12:13">
      <c r="L863" s="66">
        <v>232310</v>
      </c>
      <c r="M863" t="s">
        <v>906</v>
      </c>
    </row>
    <row r="864" spans="12:13">
      <c r="L864" s="66">
        <v>232311</v>
      </c>
      <c r="M864" t="s">
        <v>906</v>
      </c>
    </row>
    <row r="865" spans="12:13">
      <c r="L865" s="66">
        <v>232400</v>
      </c>
      <c r="M865" t="s">
        <v>907</v>
      </c>
    </row>
    <row r="866" spans="12:13">
      <c r="L866" s="66">
        <v>232410</v>
      </c>
      <c r="M866" t="s">
        <v>907</v>
      </c>
    </row>
    <row r="867" spans="12:13">
      <c r="L867" s="66">
        <v>232411</v>
      </c>
      <c r="M867" t="s">
        <v>907</v>
      </c>
    </row>
    <row r="868" spans="12:13">
      <c r="L868" s="66">
        <v>232500</v>
      </c>
      <c r="M868" t="s">
        <v>908</v>
      </c>
    </row>
    <row r="869" spans="12:13">
      <c r="L869" s="66">
        <v>232510</v>
      </c>
      <c r="M869" t="s">
        <v>908</v>
      </c>
    </row>
    <row r="870" spans="12:13">
      <c r="L870" s="66">
        <v>232511</v>
      </c>
      <c r="M870" t="s">
        <v>908</v>
      </c>
    </row>
    <row r="871" spans="12:13">
      <c r="L871" s="66">
        <v>233000</v>
      </c>
      <c r="M871" t="s">
        <v>909</v>
      </c>
    </row>
    <row r="872" spans="12:13">
      <c r="L872" s="66">
        <v>233100</v>
      </c>
      <c r="M872" t="s">
        <v>910</v>
      </c>
    </row>
    <row r="873" spans="12:13">
      <c r="L873" s="66">
        <v>233110</v>
      </c>
      <c r="M873" t="s">
        <v>910</v>
      </c>
    </row>
    <row r="874" spans="12:13">
      <c r="L874" s="66">
        <v>233111</v>
      </c>
      <c r="M874" t="s">
        <v>910</v>
      </c>
    </row>
    <row r="875" spans="12:13">
      <c r="L875" s="66">
        <v>233200</v>
      </c>
      <c r="M875" t="s">
        <v>911</v>
      </c>
    </row>
    <row r="876" spans="12:13">
      <c r="L876" s="66">
        <v>233210</v>
      </c>
      <c r="M876" t="s">
        <v>911</v>
      </c>
    </row>
    <row r="877" spans="12:13">
      <c r="L877" s="66">
        <v>233211</v>
      </c>
      <c r="M877" t="s">
        <v>911</v>
      </c>
    </row>
    <row r="878" spans="12:13">
      <c r="L878" s="66">
        <v>233300</v>
      </c>
      <c r="M878" t="s">
        <v>912</v>
      </c>
    </row>
    <row r="879" spans="12:13">
      <c r="L879" s="66">
        <v>233310</v>
      </c>
      <c r="M879" t="s">
        <v>912</v>
      </c>
    </row>
    <row r="880" spans="12:13">
      <c r="L880" s="66">
        <v>233311</v>
      </c>
      <c r="M880" t="s">
        <v>912</v>
      </c>
    </row>
    <row r="881" spans="12:13">
      <c r="L881" s="66">
        <v>233400</v>
      </c>
      <c r="M881" t="s">
        <v>913</v>
      </c>
    </row>
    <row r="882" spans="12:13">
      <c r="L882" s="66">
        <v>233410</v>
      </c>
      <c r="M882" t="s">
        <v>913</v>
      </c>
    </row>
    <row r="883" spans="12:13">
      <c r="L883" s="66">
        <v>233411</v>
      </c>
      <c r="M883" t="s">
        <v>913</v>
      </c>
    </row>
    <row r="884" spans="12:13">
      <c r="L884" s="66">
        <v>233500</v>
      </c>
      <c r="M884" t="s">
        <v>914</v>
      </c>
    </row>
    <row r="885" spans="12:13">
      <c r="L885" s="66">
        <v>233510</v>
      </c>
      <c r="M885" t="s">
        <v>914</v>
      </c>
    </row>
    <row r="886" spans="12:13">
      <c r="L886" s="66">
        <v>233511</v>
      </c>
      <c r="M886" t="s">
        <v>914</v>
      </c>
    </row>
    <row r="887" spans="12:13">
      <c r="L887" s="66">
        <v>234000</v>
      </c>
      <c r="M887" t="s">
        <v>915</v>
      </c>
    </row>
    <row r="888" spans="12:13">
      <c r="L888" s="66">
        <v>234100</v>
      </c>
      <c r="M888" t="s">
        <v>916</v>
      </c>
    </row>
    <row r="889" spans="12:13">
      <c r="L889" s="66">
        <v>234110</v>
      </c>
      <c r="M889" t="s">
        <v>916</v>
      </c>
    </row>
    <row r="890" spans="12:13">
      <c r="L890" s="66">
        <v>234111</v>
      </c>
      <c r="M890" t="s">
        <v>916</v>
      </c>
    </row>
    <row r="891" spans="12:13">
      <c r="L891" s="66">
        <v>234200</v>
      </c>
      <c r="M891" t="s">
        <v>917</v>
      </c>
    </row>
    <row r="892" spans="12:13">
      <c r="L892" s="66">
        <v>234210</v>
      </c>
      <c r="M892" t="s">
        <v>917</v>
      </c>
    </row>
    <row r="893" spans="12:13">
      <c r="L893" s="66">
        <v>234211</v>
      </c>
      <c r="M893" t="s">
        <v>917</v>
      </c>
    </row>
    <row r="894" spans="12:13">
      <c r="L894" s="66">
        <v>234300</v>
      </c>
      <c r="M894" t="s">
        <v>918</v>
      </c>
    </row>
    <row r="895" spans="12:13">
      <c r="L895" s="66">
        <v>234310</v>
      </c>
      <c r="M895" t="s">
        <v>918</v>
      </c>
    </row>
    <row r="896" spans="12:13">
      <c r="L896" s="66">
        <v>234311</v>
      </c>
      <c r="M896" t="s">
        <v>918</v>
      </c>
    </row>
    <row r="897" spans="12:13">
      <c r="L897" s="66">
        <v>235000</v>
      </c>
      <c r="M897" t="s">
        <v>919</v>
      </c>
    </row>
    <row r="898" spans="12:13">
      <c r="L898" s="66">
        <v>235100</v>
      </c>
      <c r="M898" t="s">
        <v>920</v>
      </c>
    </row>
    <row r="899" spans="12:13">
      <c r="L899" s="66">
        <v>235110</v>
      </c>
      <c r="M899" t="s">
        <v>920</v>
      </c>
    </row>
    <row r="900" spans="12:13">
      <c r="L900" s="66">
        <v>235111</v>
      </c>
      <c r="M900" t="s">
        <v>920</v>
      </c>
    </row>
    <row r="901" spans="12:13">
      <c r="L901" s="66">
        <v>235200</v>
      </c>
      <c r="M901" t="s">
        <v>921</v>
      </c>
    </row>
    <row r="902" spans="12:13">
      <c r="L902" s="66">
        <v>235210</v>
      </c>
      <c r="M902" t="s">
        <v>921</v>
      </c>
    </row>
    <row r="903" spans="12:13">
      <c r="L903" s="66">
        <v>235211</v>
      </c>
      <c r="M903" t="s">
        <v>921</v>
      </c>
    </row>
    <row r="904" spans="12:13">
      <c r="L904" s="66">
        <v>235300</v>
      </c>
      <c r="M904" t="s">
        <v>922</v>
      </c>
    </row>
    <row r="905" spans="12:13">
      <c r="L905" s="66">
        <v>235310</v>
      </c>
      <c r="M905" t="s">
        <v>922</v>
      </c>
    </row>
    <row r="906" spans="12:13">
      <c r="L906" s="66">
        <v>235311</v>
      </c>
      <c r="M906" t="s">
        <v>922</v>
      </c>
    </row>
    <row r="907" spans="12:13">
      <c r="L907" s="66">
        <v>235400</v>
      </c>
      <c r="M907" t="s">
        <v>923</v>
      </c>
    </row>
    <row r="908" spans="12:13">
      <c r="L908" s="66">
        <v>235410</v>
      </c>
      <c r="M908" t="s">
        <v>923</v>
      </c>
    </row>
    <row r="909" spans="12:13">
      <c r="L909" s="66">
        <v>235411</v>
      </c>
      <c r="M909" t="s">
        <v>923</v>
      </c>
    </row>
    <row r="910" spans="12:13">
      <c r="L910" s="66">
        <v>235500</v>
      </c>
      <c r="M910" t="s">
        <v>924</v>
      </c>
    </row>
    <row r="911" spans="12:13">
      <c r="L911" s="66">
        <v>235510</v>
      </c>
      <c r="M911" t="s">
        <v>924</v>
      </c>
    </row>
    <row r="912" spans="12:13">
      <c r="L912" s="66">
        <v>235511</v>
      </c>
      <c r="M912" t="s">
        <v>924</v>
      </c>
    </row>
    <row r="913" spans="12:13">
      <c r="L913" s="66">
        <v>236000</v>
      </c>
      <c r="M913" t="s">
        <v>925</v>
      </c>
    </row>
    <row r="914" spans="12:13">
      <c r="L914" s="66">
        <v>236100</v>
      </c>
      <c r="M914" t="s">
        <v>926</v>
      </c>
    </row>
    <row r="915" spans="12:13">
      <c r="L915" s="66">
        <v>236110</v>
      </c>
      <c r="M915" t="s">
        <v>926</v>
      </c>
    </row>
    <row r="916" spans="12:13">
      <c r="L916" s="66">
        <v>236111</v>
      </c>
      <c r="M916" t="s">
        <v>926</v>
      </c>
    </row>
    <row r="917" spans="12:13">
      <c r="L917" s="66">
        <v>236120</v>
      </c>
      <c r="M917" t="s">
        <v>927</v>
      </c>
    </row>
    <row r="918" spans="12:13">
      <c r="L918" s="66">
        <v>236121</v>
      </c>
      <c r="M918" t="s">
        <v>928</v>
      </c>
    </row>
    <row r="919" spans="12:13">
      <c r="L919" s="66">
        <v>236122</v>
      </c>
      <c r="M919" t="s">
        <v>929</v>
      </c>
    </row>
    <row r="920" spans="12:13">
      <c r="L920" s="66">
        <v>236123</v>
      </c>
      <c r="M920" t="s">
        <v>930</v>
      </c>
    </row>
    <row r="921" spans="12:13">
      <c r="L921" s="66">
        <v>236200</v>
      </c>
      <c r="M921" t="s">
        <v>931</v>
      </c>
    </row>
    <row r="922" spans="12:13">
      <c r="L922" s="66">
        <v>236210</v>
      </c>
      <c r="M922" t="s">
        <v>931</v>
      </c>
    </row>
    <row r="923" spans="12:13">
      <c r="L923" s="66">
        <v>236211</v>
      </c>
      <c r="M923" t="s">
        <v>931</v>
      </c>
    </row>
    <row r="924" spans="12:13">
      <c r="L924" s="66">
        <v>236300</v>
      </c>
      <c r="M924" t="s">
        <v>932</v>
      </c>
    </row>
    <row r="925" spans="12:13">
      <c r="L925" s="66">
        <v>236310</v>
      </c>
      <c r="M925" t="s">
        <v>932</v>
      </c>
    </row>
    <row r="926" spans="12:13">
      <c r="L926" s="66">
        <v>236311</v>
      </c>
      <c r="M926" t="s">
        <v>932</v>
      </c>
    </row>
    <row r="927" spans="12:13">
      <c r="L927" s="66">
        <v>236400</v>
      </c>
      <c r="M927" t="s">
        <v>933</v>
      </c>
    </row>
    <row r="928" spans="12:13">
      <c r="L928" s="66">
        <v>236410</v>
      </c>
      <c r="M928" t="s">
        <v>933</v>
      </c>
    </row>
    <row r="929" spans="12:13">
      <c r="L929" s="66">
        <v>236411</v>
      </c>
      <c r="M929" t="s">
        <v>933</v>
      </c>
    </row>
    <row r="930" spans="12:13">
      <c r="L930" s="66">
        <v>236500</v>
      </c>
      <c r="M930" t="s">
        <v>934</v>
      </c>
    </row>
    <row r="931" spans="12:13">
      <c r="L931" s="66">
        <v>236510</v>
      </c>
      <c r="M931" t="s">
        <v>934</v>
      </c>
    </row>
    <row r="932" spans="12:13">
      <c r="L932" s="66">
        <v>236511</v>
      </c>
      <c r="M932" t="s">
        <v>934</v>
      </c>
    </row>
    <row r="933" spans="12:13">
      <c r="L933" s="66">
        <v>237000</v>
      </c>
      <c r="M933" t="s">
        <v>935</v>
      </c>
    </row>
    <row r="934" spans="12:13">
      <c r="L934" s="66">
        <v>237100</v>
      </c>
      <c r="M934" t="s">
        <v>936</v>
      </c>
    </row>
    <row r="935" spans="12:13">
      <c r="L935" s="66">
        <v>237110</v>
      </c>
      <c r="M935" t="s">
        <v>936</v>
      </c>
    </row>
    <row r="936" spans="12:13">
      <c r="L936" s="66">
        <v>237111</v>
      </c>
      <c r="M936" t="s">
        <v>937</v>
      </c>
    </row>
    <row r="937" spans="12:13">
      <c r="L937" s="66">
        <v>237112</v>
      </c>
      <c r="M937" t="s">
        <v>938</v>
      </c>
    </row>
    <row r="938" spans="12:13">
      <c r="L938" s="66">
        <v>237200</v>
      </c>
      <c r="M938" t="s">
        <v>939</v>
      </c>
    </row>
    <row r="939" spans="12:13">
      <c r="L939" s="66">
        <v>237210</v>
      </c>
      <c r="M939" t="s">
        <v>939</v>
      </c>
    </row>
    <row r="940" spans="12:13">
      <c r="L940" s="66">
        <v>237211</v>
      </c>
      <c r="M940" t="s">
        <v>939</v>
      </c>
    </row>
    <row r="941" spans="12:13">
      <c r="L941" s="66">
        <v>237300</v>
      </c>
      <c r="M941" t="s">
        <v>940</v>
      </c>
    </row>
    <row r="942" spans="12:13">
      <c r="L942" s="66">
        <v>237310</v>
      </c>
      <c r="M942" t="s">
        <v>940</v>
      </c>
    </row>
    <row r="943" spans="12:13">
      <c r="L943" s="66">
        <v>237311</v>
      </c>
      <c r="M943" t="s">
        <v>940</v>
      </c>
    </row>
    <row r="944" spans="12:13">
      <c r="L944" s="66">
        <v>237400</v>
      </c>
      <c r="M944" t="s">
        <v>941</v>
      </c>
    </row>
    <row r="945" spans="12:13">
      <c r="L945" s="66">
        <v>237410</v>
      </c>
      <c r="M945" t="s">
        <v>941</v>
      </c>
    </row>
    <row r="946" spans="12:13">
      <c r="L946" s="66">
        <v>237411</v>
      </c>
      <c r="M946" t="s">
        <v>941</v>
      </c>
    </row>
    <row r="947" spans="12:13">
      <c r="L947" s="66">
        <v>237500</v>
      </c>
      <c r="M947" t="s">
        <v>942</v>
      </c>
    </row>
    <row r="948" spans="12:13">
      <c r="L948" s="66">
        <v>237510</v>
      </c>
      <c r="M948" t="s">
        <v>942</v>
      </c>
    </row>
    <row r="949" spans="12:13">
      <c r="L949" s="66">
        <v>237511</v>
      </c>
      <c r="M949" t="s">
        <v>942</v>
      </c>
    </row>
    <row r="950" spans="12:13">
      <c r="L950" s="66">
        <v>237600</v>
      </c>
      <c r="M950" t="s">
        <v>943</v>
      </c>
    </row>
    <row r="951" spans="12:13">
      <c r="L951" s="66">
        <v>237610</v>
      </c>
      <c r="M951" t="s">
        <v>943</v>
      </c>
    </row>
    <row r="952" spans="12:13">
      <c r="L952" s="66">
        <v>237611</v>
      </c>
      <c r="M952" t="s">
        <v>943</v>
      </c>
    </row>
    <row r="953" spans="12:13">
      <c r="L953" s="66">
        <v>237700</v>
      </c>
      <c r="M953" t="s">
        <v>944</v>
      </c>
    </row>
    <row r="954" spans="12:13">
      <c r="L954" s="66">
        <v>237710</v>
      </c>
      <c r="M954" t="s">
        <v>944</v>
      </c>
    </row>
    <row r="955" spans="12:13">
      <c r="L955" s="66">
        <v>237711</v>
      </c>
      <c r="M955" t="s">
        <v>944</v>
      </c>
    </row>
    <row r="956" spans="12:13">
      <c r="L956" s="66">
        <v>238000</v>
      </c>
      <c r="M956" t="s">
        <v>945</v>
      </c>
    </row>
    <row r="957" spans="12:13">
      <c r="L957" s="66">
        <v>238100</v>
      </c>
      <c r="M957" t="s">
        <v>946</v>
      </c>
    </row>
    <row r="958" spans="12:13">
      <c r="L958" s="66">
        <v>238110</v>
      </c>
      <c r="M958" t="s">
        <v>946</v>
      </c>
    </row>
    <row r="959" spans="12:13">
      <c r="L959" s="66">
        <v>238111</v>
      </c>
      <c r="M959" t="s">
        <v>946</v>
      </c>
    </row>
    <row r="960" spans="12:13">
      <c r="L960" s="66">
        <v>238200</v>
      </c>
      <c r="M960" t="s">
        <v>947</v>
      </c>
    </row>
    <row r="961" spans="12:13">
      <c r="L961" s="66">
        <v>238210</v>
      </c>
      <c r="M961" t="s">
        <v>947</v>
      </c>
    </row>
    <row r="962" spans="12:13">
      <c r="L962" s="66">
        <v>238211</v>
      </c>
      <c r="M962" t="s">
        <v>947</v>
      </c>
    </row>
    <row r="963" spans="12:13">
      <c r="L963" s="66">
        <v>238300</v>
      </c>
      <c r="M963" t="s">
        <v>948</v>
      </c>
    </row>
    <row r="964" spans="12:13">
      <c r="L964" s="66">
        <v>238310</v>
      </c>
      <c r="M964" t="s">
        <v>948</v>
      </c>
    </row>
    <row r="965" spans="12:13">
      <c r="L965" s="66">
        <v>238311</v>
      </c>
      <c r="M965" t="s">
        <v>948</v>
      </c>
    </row>
    <row r="966" spans="12:13">
      <c r="L966" s="66">
        <v>238400</v>
      </c>
      <c r="M966" t="s">
        <v>949</v>
      </c>
    </row>
    <row r="967" spans="12:13">
      <c r="L967" s="66">
        <v>238410</v>
      </c>
      <c r="M967" t="s">
        <v>949</v>
      </c>
    </row>
    <row r="968" spans="12:13">
      <c r="L968" s="66">
        <v>238411</v>
      </c>
      <c r="M968" t="s">
        <v>949</v>
      </c>
    </row>
    <row r="969" spans="12:13">
      <c r="L969" s="66">
        <v>238500</v>
      </c>
      <c r="M969" t="s">
        <v>950</v>
      </c>
    </row>
    <row r="970" spans="12:13">
      <c r="L970" s="66">
        <v>238510</v>
      </c>
      <c r="M970" t="s">
        <v>950</v>
      </c>
    </row>
    <row r="971" spans="12:13">
      <c r="L971" s="66">
        <v>238511</v>
      </c>
      <c r="M971" t="s">
        <v>950</v>
      </c>
    </row>
    <row r="972" spans="12:13">
      <c r="L972" s="66">
        <v>239000</v>
      </c>
      <c r="M972" t="s">
        <v>951</v>
      </c>
    </row>
    <row r="973" spans="12:13">
      <c r="L973" s="66">
        <v>239100</v>
      </c>
      <c r="M973" t="s">
        <v>952</v>
      </c>
    </row>
    <row r="974" spans="12:13">
      <c r="L974" s="66">
        <v>239110</v>
      </c>
      <c r="M974" t="s">
        <v>952</v>
      </c>
    </row>
    <row r="975" spans="12:13">
      <c r="L975" s="66">
        <v>239111</v>
      </c>
      <c r="M975" t="s">
        <v>952</v>
      </c>
    </row>
    <row r="976" spans="12:13">
      <c r="L976" s="66">
        <v>239200</v>
      </c>
      <c r="M976" t="s">
        <v>953</v>
      </c>
    </row>
    <row r="977" spans="12:13">
      <c r="L977" s="66">
        <v>239210</v>
      </c>
      <c r="M977" t="s">
        <v>953</v>
      </c>
    </row>
    <row r="978" spans="12:13">
      <c r="L978" s="66">
        <v>239211</v>
      </c>
      <c r="M978" t="s">
        <v>953</v>
      </c>
    </row>
    <row r="979" spans="12:13">
      <c r="L979" s="66">
        <v>239300</v>
      </c>
      <c r="M979" t="s">
        <v>954</v>
      </c>
    </row>
    <row r="980" spans="12:13">
      <c r="L980" s="66">
        <v>239310</v>
      </c>
      <c r="M980" t="s">
        <v>954</v>
      </c>
    </row>
    <row r="981" spans="12:13">
      <c r="L981" s="66">
        <v>239311</v>
      </c>
      <c r="M981" t="s">
        <v>954</v>
      </c>
    </row>
    <row r="982" spans="12:13">
      <c r="L982" s="66">
        <v>239400</v>
      </c>
      <c r="M982" t="s">
        <v>955</v>
      </c>
    </row>
    <row r="983" spans="12:13">
      <c r="L983" s="66">
        <v>239410</v>
      </c>
      <c r="M983" t="s">
        <v>955</v>
      </c>
    </row>
    <row r="984" spans="12:13">
      <c r="L984" s="66">
        <v>239411</v>
      </c>
      <c r="M984" t="s">
        <v>955</v>
      </c>
    </row>
    <row r="985" spans="12:13">
      <c r="L985" s="66">
        <v>239500</v>
      </c>
      <c r="M985" t="s">
        <v>956</v>
      </c>
    </row>
    <row r="986" spans="12:13">
      <c r="L986" s="66">
        <v>239510</v>
      </c>
      <c r="M986" t="s">
        <v>956</v>
      </c>
    </row>
    <row r="987" spans="12:13">
      <c r="L987" s="66">
        <v>239511</v>
      </c>
      <c r="M987" t="s">
        <v>956</v>
      </c>
    </row>
    <row r="988" spans="12:13">
      <c r="L988" s="66">
        <v>240000</v>
      </c>
      <c r="M988" t="s">
        <v>957</v>
      </c>
    </row>
    <row r="989" spans="12:13">
      <c r="L989" s="66">
        <v>241000</v>
      </c>
      <c r="M989" t="s">
        <v>958</v>
      </c>
    </row>
    <row r="990" spans="12:13">
      <c r="L990" s="66">
        <v>241100</v>
      </c>
      <c r="M990" t="s">
        <v>959</v>
      </c>
    </row>
    <row r="991" spans="12:13">
      <c r="L991" s="66">
        <v>241110</v>
      </c>
      <c r="M991" t="s">
        <v>960</v>
      </c>
    </row>
    <row r="992" spans="12:13">
      <c r="L992" s="66">
        <v>241111</v>
      </c>
      <c r="M992" t="s">
        <v>961</v>
      </c>
    </row>
    <row r="993" spans="12:13">
      <c r="L993" s="66">
        <v>241112</v>
      </c>
      <c r="M993" t="s">
        <v>962</v>
      </c>
    </row>
    <row r="994" spans="12:13">
      <c r="L994" s="66">
        <v>241120</v>
      </c>
      <c r="M994" t="s">
        <v>963</v>
      </c>
    </row>
    <row r="995" spans="12:13">
      <c r="L995" s="66">
        <v>241121</v>
      </c>
      <c r="M995" t="s">
        <v>964</v>
      </c>
    </row>
    <row r="996" spans="12:13">
      <c r="L996" s="66">
        <v>241122</v>
      </c>
      <c r="M996" t="s">
        <v>965</v>
      </c>
    </row>
    <row r="997" spans="12:13">
      <c r="L997" s="66">
        <v>241123</v>
      </c>
      <c r="M997" t="s">
        <v>966</v>
      </c>
    </row>
    <row r="998" spans="12:13">
      <c r="L998" s="66">
        <v>241124</v>
      </c>
      <c r="M998" t="s">
        <v>967</v>
      </c>
    </row>
    <row r="999" spans="12:13">
      <c r="L999" s="66">
        <v>241125</v>
      </c>
      <c r="M999" t="s">
        <v>968</v>
      </c>
    </row>
    <row r="1000" spans="12:13">
      <c r="L1000" s="66">
        <v>241130</v>
      </c>
      <c r="M1000" t="s">
        <v>969</v>
      </c>
    </row>
    <row r="1001" spans="12:13">
      <c r="L1001" s="66">
        <v>241131</v>
      </c>
      <c r="M1001" t="s">
        <v>970</v>
      </c>
    </row>
    <row r="1002" spans="12:13">
      <c r="L1002" s="66">
        <v>241132</v>
      </c>
      <c r="M1002" t="s">
        <v>971</v>
      </c>
    </row>
    <row r="1003" spans="12:13">
      <c r="L1003" s="66">
        <v>241140</v>
      </c>
      <c r="M1003" t="s">
        <v>972</v>
      </c>
    </row>
    <row r="1004" spans="12:13">
      <c r="L1004" s="66">
        <v>241141</v>
      </c>
      <c r="M1004" t="s">
        <v>972</v>
      </c>
    </row>
    <row r="1005" spans="12:13">
      <c r="L1005" s="66">
        <v>241150</v>
      </c>
      <c r="M1005" t="s">
        <v>973</v>
      </c>
    </row>
    <row r="1006" spans="12:13">
      <c r="L1006" s="66">
        <v>241151</v>
      </c>
      <c r="M1006" t="s">
        <v>973</v>
      </c>
    </row>
    <row r="1007" spans="12:13">
      <c r="L1007" s="66">
        <v>241160</v>
      </c>
      <c r="M1007" t="s">
        <v>974</v>
      </c>
    </row>
    <row r="1008" spans="12:13">
      <c r="L1008" s="66">
        <v>241161</v>
      </c>
      <c r="M1008" t="s">
        <v>974</v>
      </c>
    </row>
    <row r="1009" spans="12:13">
      <c r="L1009" s="66">
        <v>241170</v>
      </c>
      <c r="M1009" t="s">
        <v>975</v>
      </c>
    </row>
    <row r="1010" spans="12:13">
      <c r="L1010" s="66">
        <v>241171</v>
      </c>
      <c r="M1010" t="s">
        <v>975</v>
      </c>
    </row>
    <row r="1011" spans="12:13">
      <c r="L1011" s="66">
        <v>241180</v>
      </c>
      <c r="M1011" t="s">
        <v>976</v>
      </c>
    </row>
    <row r="1012" spans="12:13">
      <c r="L1012" s="66">
        <v>241181</v>
      </c>
      <c r="M1012" t="s">
        <v>976</v>
      </c>
    </row>
    <row r="1013" spans="12:13">
      <c r="L1013" s="66">
        <v>241200</v>
      </c>
      <c r="M1013" t="s">
        <v>977</v>
      </c>
    </row>
    <row r="1014" spans="12:13">
      <c r="L1014" s="66">
        <v>241210</v>
      </c>
      <c r="M1014" t="s">
        <v>978</v>
      </c>
    </row>
    <row r="1015" spans="12:13">
      <c r="L1015" s="66">
        <v>241211</v>
      </c>
      <c r="M1015" t="s">
        <v>979</v>
      </c>
    </row>
    <row r="1016" spans="12:13">
      <c r="L1016" s="66">
        <v>241212</v>
      </c>
      <c r="M1016" t="s">
        <v>980</v>
      </c>
    </row>
    <row r="1017" spans="12:13">
      <c r="L1017" s="66">
        <v>241220</v>
      </c>
      <c r="M1017" t="s">
        <v>981</v>
      </c>
    </row>
    <row r="1018" spans="12:13">
      <c r="L1018" s="66">
        <v>241221</v>
      </c>
      <c r="M1018" t="s">
        <v>982</v>
      </c>
    </row>
    <row r="1019" spans="12:13">
      <c r="L1019" s="66">
        <v>241222</v>
      </c>
      <c r="M1019" t="s">
        <v>983</v>
      </c>
    </row>
    <row r="1020" spans="12:13">
      <c r="L1020" s="66">
        <v>241229</v>
      </c>
      <c r="M1020" t="s">
        <v>984</v>
      </c>
    </row>
    <row r="1021" spans="12:13">
      <c r="L1021" s="66">
        <v>241230</v>
      </c>
      <c r="M1021" t="s">
        <v>985</v>
      </c>
    </row>
    <row r="1022" spans="12:13">
      <c r="L1022" s="66">
        <v>241231</v>
      </c>
      <c r="M1022" t="s">
        <v>986</v>
      </c>
    </row>
    <row r="1023" spans="12:13">
      <c r="L1023" s="66">
        <v>241232</v>
      </c>
      <c r="M1023" t="s">
        <v>987</v>
      </c>
    </row>
    <row r="1024" spans="12:13">
      <c r="L1024" s="66">
        <v>241233</v>
      </c>
      <c r="M1024" t="s">
        <v>988</v>
      </c>
    </row>
    <row r="1025" spans="12:13">
      <c r="L1025" s="66">
        <v>241234</v>
      </c>
      <c r="M1025" t="s">
        <v>989</v>
      </c>
    </row>
    <row r="1026" spans="12:13">
      <c r="L1026" s="66">
        <v>241235</v>
      </c>
      <c r="M1026" t="s">
        <v>990</v>
      </c>
    </row>
    <row r="1027" spans="12:13">
      <c r="L1027" s="66">
        <v>241239</v>
      </c>
      <c r="M1027" t="s">
        <v>991</v>
      </c>
    </row>
    <row r="1028" spans="12:13">
      <c r="L1028" s="66">
        <v>241240</v>
      </c>
      <c r="M1028" t="s">
        <v>992</v>
      </c>
    </row>
    <row r="1029" spans="12:13">
      <c r="L1029" s="66">
        <v>241241</v>
      </c>
      <c r="M1029" t="s">
        <v>993</v>
      </c>
    </row>
    <row r="1030" spans="12:13">
      <c r="L1030" s="66">
        <v>241249</v>
      </c>
      <c r="M1030" t="s">
        <v>994</v>
      </c>
    </row>
    <row r="1031" spans="12:13">
      <c r="L1031" s="66">
        <v>241250</v>
      </c>
      <c r="M1031" t="s">
        <v>995</v>
      </c>
    </row>
    <row r="1032" spans="12:13">
      <c r="L1032" s="66">
        <v>241251</v>
      </c>
      <c r="M1032" t="s">
        <v>995</v>
      </c>
    </row>
    <row r="1033" spans="12:13">
      <c r="L1033" s="66">
        <v>241260</v>
      </c>
      <c r="M1033" t="s">
        <v>996</v>
      </c>
    </row>
    <row r="1034" spans="12:13">
      <c r="L1034" s="66">
        <v>241261</v>
      </c>
      <c r="M1034" t="s">
        <v>996</v>
      </c>
    </row>
    <row r="1035" spans="12:13">
      <c r="L1035" s="66">
        <v>241300</v>
      </c>
      <c r="M1035" t="s">
        <v>997</v>
      </c>
    </row>
    <row r="1036" spans="12:13">
      <c r="L1036" s="66">
        <v>241310</v>
      </c>
      <c r="M1036" t="s">
        <v>997</v>
      </c>
    </row>
    <row r="1037" spans="12:13">
      <c r="L1037" s="66">
        <v>241311</v>
      </c>
      <c r="M1037" t="s">
        <v>997</v>
      </c>
    </row>
    <row r="1038" spans="12:13">
      <c r="L1038" s="66">
        <v>241400</v>
      </c>
      <c r="M1038" t="s">
        <v>998</v>
      </c>
    </row>
    <row r="1039" spans="12:13">
      <c r="L1039" s="66">
        <v>241410</v>
      </c>
      <c r="M1039" t="s">
        <v>998</v>
      </c>
    </row>
    <row r="1040" spans="12:13">
      <c r="L1040" s="66">
        <v>241411</v>
      </c>
      <c r="M1040" t="s">
        <v>999</v>
      </c>
    </row>
    <row r="1041" spans="12:13">
      <c r="L1041" s="66">
        <v>241412</v>
      </c>
      <c r="M1041" t="s">
        <v>1000</v>
      </c>
    </row>
    <row r="1042" spans="12:13">
      <c r="L1042" s="66">
        <v>241413</v>
      </c>
      <c r="M1042" t="s">
        <v>1001</v>
      </c>
    </row>
    <row r="1043" spans="12:13">
      <c r="L1043" s="66">
        <v>242000</v>
      </c>
      <c r="M1043" t="s">
        <v>1002</v>
      </c>
    </row>
    <row r="1044" spans="12:13">
      <c r="L1044" s="66">
        <v>242100</v>
      </c>
      <c r="M1044" t="s">
        <v>1003</v>
      </c>
    </row>
    <row r="1045" spans="12:13">
      <c r="L1045" s="66">
        <v>242110</v>
      </c>
      <c r="M1045" t="s">
        <v>1004</v>
      </c>
    </row>
    <row r="1046" spans="12:13">
      <c r="L1046" s="66">
        <v>242111</v>
      </c>
      <c r="M1046" t="s">
        <v>1005</v>
      </c>
    </row>
    <row r="1047" spans="12:13">
      <c r="L1047" s="66">
        <v>242112</v>
      </c>
      <c r="M1047" t="s">
        <v>1006</v>
      </c>
    </row>
    <row r="1048" spans="12:13">
      <c r="L1048" s="66">
        <v>242113</v>
      </c>
      <c r="M1048" t="s">
        <v>1007</v>
      </c>
    </row>
    <row r="1049" spans="12:13">
      <c r="L1049" s="66">
        <v>242114</v>
      </c>
      <c r="M1049" t="s">
        <v>1008</v>
      </c>
    </row>
    <row r="1050" spans="12:13">
      <c r="L1050" s="66">
        <v>242119</v>
      </c>
      <c r="M1050" t="s">
        <v>1009</v>
      </c>
    </row>
    <row r="1051" spans="12:13">
      <c r="L1051" s="66">
        <v>242120</v>
      </c>
      <c r="M1051" t="s">
        <v>1010</v>
      </c>
    </row>
    <row r="1052" spans="12:13">
      <c r="L1052" s="66">
        <v>242121</v>
      </c>
      <c r="M1052" t="s">
        <v>1011</v>
      </c>
    </row>
    <row r="1053" spans="12:13">
      <c r="L1053" s="66">
        <v>242122</v>
      </c>
      <c r="M1053" t="s">
        <v>1012</v>
      </c>
    </row>
    <row r="1054" spans="12:13">
      <c r="L1054" s="66">
        <v>242123</v>
      </c>
      <c r="M1054" t="s">
        <v>1013</v>
      </c>
    </row>
    <row r="1055" spans="12:13">
      <c r="L1055" s="66">
        <v>242124</v>
      </c>
      <c r="M1055" t="s">
        <v>1014</v>
      </c>
    </row>
    <row r="1056" spans="12:13">
      <c r="L1056" s="66">
        <v>242129</v>
      </c>
      <c r="M1056" t="s">
        <v>1015</v>
      </c>
    </row>
    <row r="1057" spans="12:13">
      <c r="L1057" s="66">
        <v>242200</v>
      </c>
      <c r="M1057" t="s">
        <v>1016</v>
      </c>
    </row>
    <row r="1058" spans="12:13">
      <c r="L1058" s="66">
        <v>242210</v>
      </c>
      <c r="M1058" t="s">
        <v>1017</v>
      </c>
    </row>
    <row r="1059" spans="12:13">
      <c r="L1059" s="66">
        <v>242211</v>
      </c>
      <c r="M1059" t="s">
        <v>1018</v>
      </c>
    </row>
    <row r="1060" spans="12:13">
      <c r="L1060" s="66">
        <v>242219</v>
      </c>
      <c r="M1060" t="s">
        <v>1019</v>
      </c>
    </row>
    <row r="1061" spans="12:13">
      <c r="L1061" s="66">
        <v>242220</v>
      </c>
      <c r="M1061" t="s">
        <v>1020</v>
      </c>
    </row>
    <row r="1062" spans="12:13">
      <c r="L1062" s="66">
        <v>242221</v>
      </c>
      <c r="M1062" t="s">
        <v>1021</v>
      </c>
    </row>
    <row r="1063" spans="12:13">
      <c r="L1063" s="66">
        <v>242229</v>
      </c>
      <c r="M1063" t="s">
        <v>1022</v>
      </c>
    </row>
    <row r="1064" spans="12:13">
      <c r="L1064" s="66">
        <v>242300</v>
      </c>
      <c r="M1064" t="s">
        <v>1023</v>
      </c>
    </row>
    <row r="1065" spans="12:13">
      <c r="L1065" s="66">
        <v>242310</v>
      </c>
      <c r="M1065" t="s">
        <v>1024</v>
      </c>
    </row>
    <row r="1066" spans="12:13">
      <c r="L1066" s="66">
        <v>242311</v>
      </c>
      <c r="M1066" t="s">
        <v>1025</v>
      </c>
    </row>
    <row r="1067" spans="12:13">
      <c r="L1067" s="66">
        <v>242319</v>
      </c>
      <c r="M1067" t="s">
        <v>1026</v>
      </c>
    </row>
    <row r="1068" spans="12:13">
      <c r="L1068" s="66">
        <v>242320</v>
      </c>
      <c r="M1068" t="s">
        <v>1027</v>
      </c>
    </row>
    <row r="1069" spans="12:13">
      <c r="L1069" s="66">
        <v>242321</v>
      </c>
      <c r="M1069" t="s">
        <v>1028</v>
      </c>
    </row>
    <row r="1070" spans="12:13">
      <c r="L1070" s="66">
        <v>242329</v>
      </c>
      <c r="M1070" t="s">
        <v>1029</v>
      </c>
    </row>
    <row r="1071" spans="12:13">
      <c r="L1071" s="66">
        <v>242400</v>
      </c>
      <c r="M1071" t="s">
        <v>1030</v>
      </c>
    </row>
    <row r="1072" spans="12:13">
      <c r="L1072" s="66">
        <v>242410</v>
      </c>
      <c r="M1072" t="s">
        <v>1031</v>
      </c>
    </row>
    <row r="1073" spans="12:13">
      <c r="L1073" s="66">
        <v>242411</v>
      </c>
      <c r="M1073" t="s">
        <v>1031</v>
      </c>
    </row>
    <row r="1074" spans="12:13">
      <c r="L1074" s="66">
        <v>242420</v>
      </c>
      <c r="M1074" t="s">
        <v>1032</v>
      </c>
    </row>
    <row r="1075" spans="12:13">
      <c r="L1075" s="66">
        <v>242421</v>
      </c>
      <c r="M1075" t="s">
        <v>1032</v>
      </c>
    </row>
    <row r="1076" spans="12:13">
      <c r="L1076" s="66">
        <v>243000</v>
      </c>
      <c r="M1076" t="s">
        <v>1033</v>
      </c>
    </row>
    <row r="1077" spans="12:13">
      <c r="L1077" s="66">
        <v>243100</v>
      </c>
      <c r="M1077" t="s">
        <v>1034</v>
      </c>
    </row>
    <row r="1078" spans="12:13">
      <c r="L1078" s="66">
        <v>243110</v>
      </c>
      <c r="M1078" t="s">
        <v>1035</v>
      </c>
    </row>
    <row r="1079" spans="12:13">
      <c r="L1079" s="66">
        <v>243111</v>
      </c>
      <c r="M1079" t="s">
        <v>1035</v>
      </c>
    </row>
    <row r="1080" spans="12:13">
      <c r="L1080" s="66">
        <v>243120</v>
      </c>
      <c r="M1080" t="s">
        <v>1036</v>
      </c>
    </row>
    <row r="1081" spans="12:13">
      <c r="L1081" s="66">
        <v>243121</v>
      </c>
      <c r="M1081" t="s">
        <v>1036</v>
      </c>
    </row>
    <row r="1082" spans="12:13">
      <c r="L1082" s="66">
        <v>243200</v>
      </c>
      <c r="M1082" t="s">
        <v>1037</v>
      </c>
    </row>
    <row r="1083" spans="12:13">
      <c r="L1083" s="66">
        <v>243210</v>
      </c>
      <c r="M1083" t="s">
        <v>1038</v>
      </c>
    </row>
    <row r="1084" spans="12:13">
      <c r="L1084" s="66">
        <v>243211</v>
      </c>
      <c r="M1084" t="s">
        <v>1039</v>
      </c>
    </row>
    <row r="1085" spans="12:13">
      <c r="L1085" s="66">
        <v>243212</v>
      </c>
      <c r="M1085" t="s">
        <v>1040</v>
      </c>
    </row>
    <row r="1086" spans="12:13">
      <c r="L1086" s="66">
        <v>243219</v>
      </c>
      <c r="M1086" t="s">
        <v>1041</v>
      </c>
    </row>
    <row r="1087" spans="12:13">
      <c r="L1087" s="66">
        <v>243220</v>
      </c>
      <c r="M1087" t="s">
        <v>1042</v>
      </c>
    </row>
    <row r="1088" spans="12:13">
      <c r="L1088" s="66">
        <v>243221</v>
      </c>
      <c r="M1088" t="s">
        <v>1043</v>
      </c>
    </row>
    <row r="1089" spans="12:13">
      <c r="L1089" s="66">
        <v>243222</v>
      </c>
      <c r="M1089" t="s">
        <v>1044</v>
      </c>
    </row>
    <row r="1090" spans="12:13">
      <c r="L1090" s="66">
        <v>243229</v>
      </c>
      <c r="M1090" t="s">
        <v>1045</v>
      </c>
    </row>
    <row r="1091" spans="12:13">
      <c r="L1091" s="66">
        <v>243300</v>
      </c>
      <c r="M1091" t="s">
        <v>1046</v>
      </c>
    </row>
    <row r="1092" spans="12:13">
      <c r="L1092" s="66">
        <v>243310</v>
      </c>
      <c r="M1092" t="s">
        <v>1047</v>
      </c>
    </row>
    <row r="1093" spans="12:13">
      <c r="L1093" s="66">
        <v>243311</v>
      </c>
      <c r="M1093" t="s">
        <v>1048</v>
      </c>
    </row>
    <row r="1094" spans="12:13">
      <c r="L1094" s="66">
        <v>243312</v>
      </c>
      <c r="M1094" t="s">
        <v>1049</v>
      </c>
    </row>
    <row r="1095" spans="12:13">
      <c r="L1095" s="66">
        <v>243313</v>
      </c>
      <c r="M1095" t="s">
        <v>1050</v>
      </c>
    </row>
    <row r="1096" spans="12:13">
      <c r="L1096" s="66">
        <v>243314</v>
      </c>
      <c r="M1096" t="s">
        <v>1051</v>
      </c>
    </row>
    <row r="1097" spans="12:13">
      <c r="L1097" s="66">
        <v>243320</v>
      </c>
      <c r="M1097" t="s">
        <v>1052</v>
      </c>
    </row>
    <row r="1098" spans="12:13">
      <c r="L1098" s="66">
        <v>243321</v>
      </c>
      <c r="M1098" t="s">
        <v>1053</v>
      </c>
    </row>
    <row r="1099" spans="12:13">
      <c r="L1099" s="66">
        <v>243322</v>
      </c>
      <c r="M1099" t="s">
        <v>1054</v>
      </c>
    </row>
    <row r="1100" spans="12:13">
      <c r="L1100" s="66">
        <v>243323</v>
      </c>
      <c r="M1100" t="s">
        <v>1055</v>
      </c>
    </row>
    <row r="1101" spans="12:13">
      <c r="L1101" s="66">
        <v>243324</v>
      </c>
      <c r="M1101" t="s">
        <v>1056</v>
      </c>
    </row>
    <row r="1102" spans="12:13">
      <c r="L1102" s="66">
        <v>243400</v>
      </c>
      <c r="M1102" t="s">
        <v>1057</v>
      </c>
    </row>
    <row r="1103" spans="12:13">
      <c r="L1103" s="66">
        <v>243410</v>
      </c>
      <c r="M1103" t="s">
        <v>1058</v>
      </c>
    </row>
    <row r="1104" spans="12:13">
      <c r="L1104" s="66">
        <v>243411</v>
      </c>
      <c r="M1104" t="s">
        <v>1059</v>
      </c>
    </row>
    <row r="1105" spans="12:13">
      <c r="L1105" s="66">
        <v>243412</v>
      </c>
      <c r="M1105" t="s">
        <v>1060</v>
      </c>
    </row>
    <row r="1106" spans="12:13">
      <c r="L1106" s="66">
        <v>243413</v>
      </c>
      <c r="M1106" t="s">
        <v>1061</v>
      </c>
    </row>
    <row r="1107" spans="12:13">
      <c r="L1107" s="66">
        <v>243414</v>
      </c>
      <c r="M1107" t="s">
        <v>1062</v>
      </c>
    </row>
    <row r="1108" spans="12:13">
      <c r="L1108" s="66">
        <v>243415</v>
      </c>
      <c r="M1108" t="s">
        <v>1063</v>
      </c>
    </row>
    <row r="1109" spans="12:13">
      <c r="L1109" s="66">
        <v>243420</v>
      </c>
      <c r="M1109" t="s">
        <v>1064</v>
      </c>
    </row>
    <row r="1110" spans="12:13">
      <c r="L1110" s="66">
        <v>243421</v>
      </c>
      <c r="M1110" t="s">
        <v>1065</v>
      </c>
    </row>
    <row r="1111" spans="12:13">
      <c r="L1111" s="66">
        <v>243422</v>
      </c>
      <c r="M1111" t="s">
        <v>1066</v>
      </c>
    </row>
    <row r="1112" spans="12:13">
      <c r="L1112" s="66">
        <v>243425</v>
      </c>
      <c r="M1112" t="s">
        <v>1067</v>
      </c>
    </row>
    <row r="1113" spans="12:13">
      <c r="L1113" s="66">
        <v>244000</v>
      </c>
      <c r="M1113" t="s">
        <v>1068</v>
      </c>
    </row>
    <row r="1114" spans="12:13">
      <c r="L1114" s="66">
        <v>244100</v>
      </c>
      <c r="M1114" t="s">
        <v>1069</v>
      </c>
    </row>
    <row r="1115" spans="12:13">
      <c r="L1115" s="66">
        <v>244110</v>
      </c>
      <c r="M1115" t="s">
        <v>1070</v>
      </c>
    </row>
    <row r="1116" spans="12:13">
      <c r="L1116" s="66">
        <v>244111</v>
      </c>
      <c r="M1116" t="s">
        <v>1071</v>
      </c>
    </row>
    <row r="1117" spans="12:13">
      <c r="L1117" s="66">
        <v>244112</v>
      </c>
      <c r="M1117" t="s">
        <v>1072</v>
      </c>
    </row>
    <row r="1118" spans="12:13">
      <c r="L1118" s="66">
        <v>244113</v>
      </c>
      <c r="M1118" t="s">
        <v>1073</v>
      </c>
    </row>
    <row r="1119" spans="12:13">
      <c r="L1119" s="66">
        <v>244114</v>
      </c>
      <c r="M1119" t="s">
        <v>1074</v>
      </c>
    </row>
    <row r="1120" spans="12:13">
      <c r="L1120" s="66">
        <v>244119</v>
      </c>
      <c r="M1120" t="s">
        <v>1075</v>
      </c>
    </row>
    <row r="1121" spans="12:13">
      <c r="L1121" s="66">
        <v>244120</v>
      </c>
      <c r="M1121" t="s">
        <v>1076</v>
      </c>
    </row>
    <row r="1122" spans="12:13">
      <c r="L1122" s="66">
        <v>244121</v>
      </c>
      <c r="M1122" t="s">
        <v>1077</v>
      </c>
    </row>
    <row r="1123" spans="12:13">
      <c r="L1123" s="66">
        <v>244122</v>
      </c>
      <c r="M1123" t="s">
        <v>1078</v>
      </c>
    </row>
    <row r="1124" spans="12:13">
      <c r="L1124" s="66">
        <v>244123</v>
      </c>
      <c r="M1124" t="s">
        <v>1079</v>
      </c>
    </row>
    <row r="1125" spans="12:13">
      <c r="L1125" s="66">
        <v>244124</v>
      </c>
      <c r="M1125" t="s">
        <v>1080</v>
      </c>
    </row>
    <row r="1126" spans="12:13">
      <c r="L1126" s="66">
        <v>244125</v>
      </c>
      <c r="M1126" t="s">
        <v>1081</v>
      </c>
    </row>
    <row r="1127" spans="12:13">
      <c r="L1127" s="66">
        <v>244126</v>
      </c>
      <c r="M1127" t="s">
        <v>1082</v>
      </c>
    </row>
    <row r="1128" spans="12:13">
      <c r="L1128" s="66">
        <v>244129</v>
      </c>
      <c r="M1128" t="s">
        <v>1083</v>
      </c>
    </row>
    <row r="1129" spans="12:13">
      <c r="L1129" s="66">
        <v>244190</v>
      </c>
      <c r="M1129" t="s">
        <v>1084</v>
      </c>
    </row>
    <row r="1130" spans="12:13">
      <c r="L1130" s="66">
        <v>244191</v>
      </c>
      <c r="M1130" t="s">
        <v>1085</v>
      </c>
    </row>
    <row r="1131" spans="12:13">
      <c r="L1131" s="66">
        <v>244192</v>
      </c>
      <c r="M1131" t="s">
        <v>1086</v>
      </c>
    </row>
    <row r="1132" spans="12:13">
      <c r="L1132" s="66">
        <v>244193</v>
      </c>
      <c r="M1132" t="s">
        <v>1087</v>
      </c>
    </row>
    <row r="1133" spans="12:13">
      <c r="L1133" s="66">
        <v>244194</v>
      </c>
      <c r="M1133" t="s">
        <v>1088</v>
      </c>
    </row>
    <row r="1134" spans="12:13">
      <c r="L1134" s="66">
        <v>244195</v>
      </c>
      <c r="M1134" t="s">
        <v>1089</v>
      </c>
    </row>
    <row r="1135" spans="12:13">
      <c r="L1135" s="66">
        <v>244200</v>
      </c>
      <c r="M1135" t="s">
        <v>1090</v>
      </c>
    </row>
    <row r="1136" spans="12:13">
      <c r="L1136" s="66">
        <v>244210</v>
      </c>
      <c r="M1136" t="s">
        <v>1091</v>
      </c>
    </row>
    <row r="1137" spans="12:13">
      <c r="L1137" s="66">
        <v>244211</v>
      </c>
      <c r="M1137" t="s">
        <v>1092</v>
      </c>
    </row>
    <row r="1138" spans="12:13">
      <c r="L1138" s="66">
        <v>244212</v>
      </c>
      <c r="M1138" t="s">
        <v>1093</v>
      </c>
    </row>
    <row r="1139" spans="12:13">
      <c r="L1139" s="66">
        <v>244213</v>
      </c>
      <c r="M1139" t="s">
        <v>1094</v>
      </c>
    </row>
    <row r="1140" spans="12:13">
      <c r="L1140" s="66">
        <v>244220</v>
      </c>
      <c r="M1140" t="s">
        <v>1095</v>
      </c>
    </row>
    <row r="1141" spans="12:13">
      <c r="L1141" s="66">
        <v>244221</v>
      </c>
      <c r="M1141" t="s">
        <v>1095</v>
      </c>
    </row>
    <row r="1142" spans="12:13">
      <c r="L1142" s="66">
        <v>244230</v>
      </c>
      <c r="M1142" t="s">
        <v>1096</v>
      </c>
    </row>
    <row r="1143" spans="12:13">
      <c r="L1143" s="66">
        <v>244231</v>
      </c>
      <c r="M1143" t="s">
        <v>1096</v>
      </c>
    </row>
    <row r="1144" spans="12:13">
      <c r="L1144" s="66">
        <v>244240</v>
      </c>
      <c r="M1144" t="s">
        <v>1097</v>
      </c>
    </row>
    <row r="1145" spans="12:13">
      <c r="L1145" s="66">
        <v>244241</v>
      </c>
      <c r="M1145" t="s">
        <v>1097</v>
      </c>
    </row>
    <row r="1146" spans="12:13">
      <c r="L1146" s="66">
        <v>244250</v>
      </c>
      <c r="M1146" t="s">
        <v>1098</v>
      </c>
    </row>
    <row r="1147" spans="12:13">
      <c r="L1147" s="66">
        <v>244251</v>
      </c>
      <c r="M1147" t="s">
        <v>1099</v>
      </c>
    </row>
    <row r="1148" spans="12:13">
      <c r="L1148" s="66">
        <v>244252</v>
      </c>
      <c r="M1148" t="s">
        <v>1100</v>
      </c>
    </row>
    <row r="1149" spans="12:13">
      <c r="L1149" s="66">
        <v>244260</v>
      </c>
      <c r="M1149" t="s">
        <v>1101</v>
      </c>
    </row>
    <row r="1150" spans="12:13">
      <c r="L1150" s="66">
        <v>244261</v>
      </c>
      <c r="M1150" t="s">
        <v>1101</v>
      </c>
    </row>
    <row r="1151" spans="12:13">
      <c r="L1151" s="66">
        <v>244270</v>
      </c>
      <c r="M1151" t="s">
        <v>1102</v>
      </c>
    </row>
    <row r="1152" spans="12:13">
      <c r="L1152" s="66">
        <v>244271</v>
      </c>
      <c r="M1152" t="s">
        <v>1103</v>
      </c>
    </row>
    <row r="1153" spans="12:13">
      <c r="L1153" s="66">
        <v>244272</v>
      </c>
      <c r="M1153" t="s">
        <v>1104</v>
      </c>
    </row>
    <row r="1154" spans="12:13">
      <c r="L1154" s="66">
        <v>244273</v>
      </c>
      <c r="M1154" t="s">
        <v>1105</v>
      </c>
    </row>
    <row r="1155" spans="12:13">
      <c r="L1155" s="66">
        <v>244274</v>
      </c>
      <c r="M1155" t="s">
        <v>1106</v>
      </c>
    </row>
    <row r="1156" spans="12:13">
      <c r="L1156" s="66">
        <v>244280</v>
      </c>
      <c r="M1156" t="s">
        <v>1107</v>
      </c>
    </row>
    <row r="1157" spans="12:13">
      <c r="L1157" s="66">
        <v>244281</v>
      </c>
      <c r="M1157" t="s">
        <v>1107</v>
      </c>
    </row>
    <row r="1158" spans="12:13">
      <c r="L1158" s="66">
        <v>244290</v>
      </c>
      <c r="M1158" t="s">
        <v>1108</v>
      </c>
    </row>
    <row r="1159" spans="12:13">
      <c r="L1159" s="66">
        <v>244291</v>
      </c>
      <c r="M1159" t="s">
        <v>1109</v>
      </c>
    </row>
    <row r="1160" spans="12:13">
      <c r="L1160" s="66">
        <v>244292</v>
      </c>
      <c r="M1160" t="s">
        <v>1110</v>
      </c>
    </row>
    <row r="1161" spans="12:13">
      <c r="L1161" s="66">
        <v>244293</v>
      </c>
      <c r="M1161" t="s">
        <v>1111</v>
      </c>
    </row>
    <row r="1162" spans="12:13">
      <c r="L1162" s="66">
        <v>245000</v>
      </c>
      <c r="M1162" t="s">
        <v>1112</v>
      </c>
    </row>
    <row r="1163" spans="12:13">
      <c r="L1163" s="66">
        <v>245100</v>
      </c>
      <c r="M1163" t="s">
        <v>1113</v>
      </c>
    </row>
    <row r="1164" spans="12:13">
      <c r="L1164" s="66">
        <v>245110</v>
      </c>
      <c r="M1164" t="s">
        <v>1114</v>
      </c>
    </row>
    <row r="1165" spans="12:13">
      <c r="L1165" s="66">
        <v>245111</v>
      </c>
      <c r="M1165" t="s">
        <v>1114</v>
      </c>
    </row>
    <row r="1166" spans="12:13">
      <c r="L1166" s="66">
        <v>245112</v>
      </c>
      <c r="M1166" t="s">
        <v>1115</v>
      </c>
    </row>
    <row r="1167" spans="12:13">
      <c r="L1167" s="66">
        <v>245113</v>
      </c>
      <c r="M1167" t="s">
        <v>1116</v>
      </c>
    </row>
    <row r="1168" spans="12:13">
      <c r="L1168" s="66">
        <v>245190</v>
      </c>
      <c r="M1168" t="s">
        <v>1117</v>
      </c>
    </row>
    <row r="1169" spans="12:13">
      <c r="L1169" s="66">
        <v>245191</v>
      </c>
      <c r="M1169" t="s">
        <v>1118</v>
      </c>
    </row>
    <row r="1170" spans="12:13">
      <c r="L1170" s="66">
        <v>245192</v>
      </c>
      <c r="M1170" t="s">
        <v>1119</v>
      </c>
    </row>
    <row r="1171" spans="12:13">
      <c r="L1171" s="66">
        <v>245193</v>
      </c>
      <c r="M1171" t="s">
        <v>1120</v>
      </c>
    </row>
    <row r="1172" spans="12:13">
      <c r="L1172" s="66">
        <v>245194</v>
      </c>
      <c r="M1172" t="s">
        <v>1121</v>
      </c>
    </row>
    <row r="1173" spans="12:13">
      <c r="L1173" s="66">
        <v>245195</v>
      </c>
      <c r="M1173" t="s">
        <v>1122</v>
      </c>
    </row>
    <row r="1174" spans="12:13">
      <c r="L1174" s="66">
        <v>245196</v>
      </c>
      <c r="M1174" t="s">
        <v>1123</v>
      </c>
    </row>
    <row r="1175" spans="12:13">
      <c r="L1175" s="66">
        <v>245199</v>
      </c>
      <c r="M1175" t="s">
        <v>1117</v>
      </c>
    </row>
    <row r="1176" spans="12:13">
      <c r="L1176" s="66">
        <v>245200</v>
      </c>
      <c r="M1176" t="s">
        <v>1124</v>
      </c>
    </row>
    <row r="1177" spans="12:13">
      <c r="L1177" s="66">
        <v>245210</v>
      </c>
      <c r="M1177" t="s">
        <v>1125</v>
      </c>
    </row>
    <row r="1178" spans="12:13">
      <c r="L1178" s="66">
        <v>245211</v>
      </c>
      <c r="M1178" t="s">
        <v>1126</v>
      </c>
    </row>
    <row r="1179" spans="12:13">
      <c r="L1179" s="66">
        <v>245212</v>
      </c>
      <c r="M1179" t="s">
        <v>1127</v>
      </c>
    </row>
    <row r="1180" spans="12:13">
      <c r="L1180" s="66">
        <v>245213</v>
      </c>
      <c r="M1180" t="s">
        <v>1128</v>
      </c>
    </row>
    <row r="1181" spans="12:13">
      <c r="L1181" s="66">
        <v>245214</v>
      </c>
      <c r="M1181" t="s">
        <v>1129</v>
      </c>
    </row>
    <row r="1182" spans="12:13">
      <c r="L1182" s="66">
        <v>245219</v>
      </c>
      <c r="M1182" t="s">
        <v>1130</v>
      </c>
    </row>
    <row r="1183" spans="12:13">
      <c r="L1183" s="66">
        <v>245220</v>
      </c>
      <c r="M1183" t="s">
        <v>1131</v>
      </c>
    </row>
    <row r="1184" spans="12:13">
      <c r="L1184" s="66">
        <v>245221</v>
      </c>
      <c r="M1184" t="s">
        <v>1132</v>
      </c>
    </row>
    <row r="1185" spans="12:13">
      <c r="L1185" s="66">
        <v>245222</v>
      </c>
      <c r="M1185" t="s">
        <v>1133</v>
      </c>
    </row>
    <row r="1186" spans="12:13">
      <c r="L1186" s="66">
        <v>245223</v>
      </c>
      <c r="M1186" t="s">
        <v>1134</v>
      </c>
    </row>
    <row r="1187" spans="12:13">
      <c r="L1187" s="66">
        <v>245224</v>
      </c>
      <c r="M1187" t="s">
        <v>1135</v>
      </c>
    </row>
    <row r="1188" spans="12:13">
      <c r="L1188" s="66">
        <v>245225</v>
      </c>
      <c r="M1188" t="s">
        <v>1136</v>
      </c>
    </row>
    <row r="1189" spans="12:13">
      <c r="L1189" s="66">
        <v>245230</v>
      </c>
      <c r="M1189" t="s">
        <v>1137</v>
      </c>
    </row>
    <row r="1190" spans="12:13">
      <c r="L1190" s="66">
        <v>245231</v>
      </c>
      <c r="M1190" t="s">
        <v>1138</v>
      </c>
    </row>
    <row r="1191" spans="12:13">
      <c r="L1191" s="66">
        <v>245232</v>
      </c>
      <c r="M1191" t="s">
        <v>1139</v>
      </c>
    </row>
    <row r="1192" spans="12:13">
      <c r="L1192" s="66">
        <v>245233</v>
      </c>
      <c r="M1192" t="s">
        <v>1140</v>
      </c>
    </row>
    <row r="1193" spans="12:13">
      <c r="L1193" s="66">
        <v>245234</v>
      </c>
      <c r="M1193" t="s">
        <v>1141</v>
      </c>
    </row>
    <row r="1194" spans="12:13">
      <c r="L1194" s="66">
        <v>245240</v>
      </c>
      <c r="M1194" t="s">
        <v>1142</v>
      </c>
    </row>
    <row r="1195" spans="12:13">
      <c r="L1195" s="66">
        <v>245241</v>
      </c>
      <c r="M1195" t="s">
        <v>1143</v>
      </c>
    </row>
    <row r="1196" spans="12:13">
      <c r="L1196" s="66">
        <v>245242</v>
      </c>
      <c r="M1196" t="s">
        <v>1144</v>
      </c>
    </row>
    <row r="1197" spans="12:13">
      <c r="L1197" s="66">
        <v>245243</v>
      </c>
      <c r="M1197" t="s">
        <v>1145</v>
      </c>
    </row>
    <row r="1198" spans="12:13">
      <c r="L1198" s="66">
        <v>245244</v>
      </c>
      <c r="M1198" t="s">
        <v>1146</v>
      </c>
    </row>
    <row r="1199" spans="12:13">
      <c r="L1199" s="66">
        <v>245245</v>
      </c>
      <c r="M1199" t="s">
        <v>1147</v>
      </c>
    </row>
    <row r="1200" spans="12:13">
      <c r="L1200" s="66">
        <v>245246</v>
      </c>
      <c r="M1200" t="s">
        <v>1148</v>
      </c>
    </row>
    <row r="1201" spans="12:13">
      <c r="L1201" s="66">
        <v>245247</v>
      </c>
      <c r="M1201" t="s">
        <v>1149</v>
      </c>
    </row>
    <row r="1202" spans="12:13">
      <c r="L1202" s="66">
        <v>245248</v>
      </c>
      <c r="M1202" t="s">
        <v>1150</v>
      </c>
    </row>
    <row r="1203" spans="12:13">
      <c r="L1203" s="66">
        <v>245249</v>
      </c>
      <c r="M1203" t="s">
        <v>1151</v>
      </c>
    </row>
    <row r="1204" spans="12:13">
      <c r="L1204" s="66">
        <v>245300</v>
      </c>
      <c r="M1204" t="s">
        <v>1152</v>
      </c>
    </row>
    <row r="1205" spans="12:13">
      <c r="L1205" s="66">
        <v>245310</v>
      </c>
      <c r="M1205" t="s">
        <v>1152</v>
      </c>
    </row>
    <row r="1206" spans="12:13">
      <c r="L1206" s="66">
        <v>245311</v>
      </c>
      <c r="M1206" t="s">
        <v>1152</v>
      </c>
    </row>
    <row r="1207" spans="12:13">
      <c r="L1207" s="66">
        <v>245400</v>
      </c>
      <c r="M1207" t="s">
        <v>1153</v>
      </c>
    </row>
    <row r="1208" spans="12:13">
      <c r="L1208" s="66">
        <v>245410</v>
      </c>
      <c r="M1208" t="s">
        <v>1153</v>
      </c>
    </row>
    <row r="1209" spans="12:13">
      <c r="L1209" s="66">
        <v>245411</v>
      </c>
      <c r="M1209" t="s">
        <v>1153</v>
      </c>
    </row>
    <row r="1210" spans="12:13">
      <c r="L1210" s="66">
        <v>245420</v>
      </c>
      <c r="M1210" t="s">
        <v>1154</v>
      </c>
    </row>
    <row r="1211" spans="12:13">
      <c r="L1211" s="66">
        <v>245421</v>
      </c>
      <c r="M1211" t="s">
        <v>1154</v>
      </c>
    </row>
    <row r="1212" spans="12:13">
      <c r="L1212" s="66">
        <v>245500</v>
      </c>
      <c r="M1212" t="s">
        <v>1155</v>
      </c>
    </row>
    <row r="1213" spans="12:13">
      <c r="L1213" s="66">
        <v>245510</v>
      </c>
      <c r="M1213" t="s">
        <v>1155</v>
      </c>
    </row>
    <row r="1214" spans="12:13">
      <c r="L1214" s="66">
        <v>245511</v>
      </c>
      <c r="M1214" t="s">
        <v>1155</v>
      </c>
    </row>
    <row r="1215" spans="12:13">
      <c r="L1215" s="66">
        <v>250000</v>
      </c>
      <c r="M1215" t="s">
        <v>1156</v>
      </c>
    </row>
    <row r="1216" spans="12:13">
      <c r="L1216" s="66">
        <v>251000</v>
      </c>
      <c r="M1216" t="s">
        <v>1157</v>
      </c>
    </row>
    <row r="1217" spans="12:13">
      <c r="L1217" s="66">
        <v>251100</v>
      </c>
      <c r="M1217" t="s">
        <v>1158</v>
      </c>
    </row>
    <row r="1218" spans="12:13">
      <c r="L1218" s="66">
        <v>251110</v>
      </c>
      <c r="M1218" t="s">
        <v>1158</v>
      </c>
    </row>
    <row r="1219" spans="12:13">
      <c r="L1219" s="66">
        <v>251111</v>
      </c>
      <c r="M1219" t="s">
        <v>1158</v>
      </c>
    </row>
    <row r="1220" spans="12:13">
      <c r="L1220" s="66">
        <v>251200</v>
      </c>
      <c r="M1220" t="s">
        <v>1159</v>
      </c>
    </row>
    <row r="1221" spans="12:13">
      <c r="L1221" s="66">
        <v>251210</v>
      </c>
      <c r="M1221" t="s">
        <v>1159</v>
      </c>
    </row>
    <row r="1222" spans="12:13">
      <c r="L1222" s="66">
        <v>251211</v>
      </c>
      <c r="M1222" t="s">
        <v>1159</v>
      </c>
    </row>
    <row r="1223" spans="12:13">
      <c r="L1223" s="66">
        <v>251212</v>
      </c>
      <c r="M1223" t="s">
        <v>1160</v>
      </c>
    </row>
    <row r="1224" spans="12:13">
      <c r="L1224" s="66">
        <v>251219</v>
      </c>
      <c r="M1224" t="s">
        <v>1161</v>
      </c>
    </row>
    <row r="1225" spans="12:13">
      <c r="L1225" s="66">
        <v>251300</v>
      </c>
      <c r="M1225" t="s">
        <v>1162</v>
      </c>
    </row>
    <row r="1226" spans="12:13">
      <c r="L1226" s="66">
        <v>251310</v>
      </c>
      <c r="M1226" t="s">
        <v>1162</v>
      </c>
    </row>
    <row r="1227" spans="12:13">
      <c r="L1227" s="66">
        <v>251311</v>
      </c>
      <c r="M1227" t="s">
        <v>1162</v>
      </c>
    </row>
    <row r="1228" spans="12:13">
      <c r="L1228" s="66">
        <v>252000</v>
      </c>
      <c r="M1228" t="s">
        <v>1163</v>
      </c>
    </row>
    <row r="1229" spans="12:13">
      <c r="L1229" s="66">
        <v>252100</v>
      </c>
      <c r="M1229" t="s">
        <v>1164</v>
      </c>
    </row>
    <row r="1230" spans="12:13">
      <c r="L1230" s="66">
        <v>252110</v>
      </c>
      <c r="M1230" t="s">
        <v>1164</v>
      </c>
    </row>
    <row r="1231" spans="12:13">
      <c r="L1231" s="66">
        <v>252111</v>
      </c>
      <c r="M1231" t="s">
        <v>1164</v>
      </c>
    </row>
    <row r="1232" spans="12:13">
      <c r="L1232" s="66">
        <v>252200</v>
      </c>
      <c r="M1232" t="s">
        <v>1165</v>
      </c>
    </row>
    <row r="1233" spans="12:13">
      <c r="L1233" s="66">
        <v>252210</v>
      </c>
      <c r="M1233" t="s">
        <v>1165</v>
      </c>
    </row>
    <row r="1234" spans="12:13">
      <c r="L1234" s="66">
        <v>252211</v>
      </c>
      <c r="M1234" t="s">
        <v>1165</v>
      </c>
    </row>
    <row r="1235" spans="12:13">
      <c r="L1235" s="66">
        <v>253000</v>
      </c>
      <c r="M1235" t="s">
        <v>1166</v>
      </c>
    </row>
    <row r="1236" spans="12:13">
      <c r="L1236" s="66">
        <v>253100</v>
      </c>
      <c r="M1236" t="s">
        <v>1166</v>
      </c>
    </row>
    <row r="1237" spans="12:13">
      <c r="L1237" s="66">
        <v>253110</v>
      </c>
      <c r="M1237" t="s">
        <v>1166</v>
      </c>
    </row>
    <row r="1238" spans="12:13">
      <c r="L1238" s="66">
        <v>253111</v>
      </c>
      <c r="M1238" t="s">
        <v>1167</v>
      </c>
    </row>
    <row r="1239" spans="12:13">
      <c r="L1239" s="66">
        <v>253112</v>
      </c>
      <c r="M1239" t="s">
        <v>1168</v>
      </c>
    </row>
    <row r="1240" spans="12:13">
      <c r="L1240" s="66">
        <v>254000</v>
      </c>
      <c r="M1240" t="s">
        <v>1169</v>
      </c>
    </row>
    <row r="1241" spans="12:13">
      <c r="L1241" s="66">
        <v>254100</v>
      </c>
      <c r="M1241" t="s">
        <v>1170</v>
      </c>
    </row>
    <row r="1242" spans="12:13">
      <c r="L1242" s="66">
        <v>254110</v>
      </c>
      <c r="M1242" t="s">
        <v>1170</v>
      </c>
    </row>
    <row r="1243" spans="12:13">
      <c r="L1243" s="66">
        <v>254111</v>
      </c>
      <c r="M1243" t="s">
        <v>1171</v>
      </c>
    </row>
    <row r="1244" spans="12:13">
      <c r="L1244" s="66">
        <v>254112</v>
      </c>
      <c r="M1244" t="s">
        <v>1172</v>
      </c>
    </row>
    <row r="1245" spans="12:13">
      <c r="L1245" s="66">
        <v>254113</v>
      </c>
      <c r="M1245" t="s">
        <v>1173</v>
      </c>
    </row>
    <row r="1246" spans="12:13">
      <c r="L1246" s="66">
        <v>254114</v>
      </c>
      <c r="M1246" t="s">
        <v>1174</v>
      </c>
    </row>
    <row r="1247" spans="12:13">
      <c r="L1247" s="66">
        <v>254200</v>
      </c>
      <c r="M1247" t="s">
        <v>1175</v>
      </c>
    </row>
    <row r="1248" spans="12:13">
      <c r="L1248" s="66">
        <v>254210</v>
      </c>
      <c r="M1248" t="s">
        <v>1175</v>
      </c>
    </row>
    <row r="1249" spans="12:13">
      <c r="L1249" s="66">
        <v>254211</v>
      </c>
      <c r="M1249" t="s">
        <v>1175</v>
      </c>
    </row>
    <row r="1250" spans="12:13">
      <c r="L1250" s="66">
        <v>254900</v>
      </c>
      <c r="M1250" t="s">
        <v>1176</v>
      </c>
    </row>
    <row r="1251" spans="12:13">
      <c r="L1251" s="66">
        <v>254910</v>
      </c>
      <c r="M1251" t="s">
        <v>1177</v>
      </c>
    </row>
    <row r="1252" spans="12:13">
      <c r="L1252" s="66">
        <v>254911</v>
      </c>
      <c r="M1252" t="s">
        <v>1178</v>
      </c>
    </row>
    <row r="1253" spans="12:13">
      <c r="L1253" s="66">
        <v>254912</v>
      </c>
      <c r="M1253" t="s">
        <v>1179</v>
      </c>
    </row>
    <row r="1254" spans="12:13">
      <c r="L1254" s="66">
        <v>254913</v>
      </c>
      <c r="M1254" t="s">
        <v>1180</v>
      </c>
    </row>
    <row r="1255" spans="12:13">
      <c r="L1255" s="66">
        <v>254920</v>
      </c>
      <c r="M1255" t="s">
        <v>1181</v>
      </c>
    </row>
    <row r="1256" spans="12:13">
      <c r="L1256" s="66">
        <v>254921</v>
      </c>
      <c r="M1256" t="s">
        <v>1182</v>
      </c>
    </row>
    <row r="1257" spans="12:13">
      <c r="L1257" s="66">
        <v>254922</v>
      </c>
      <c r="M1257" t="s">
        <v>1183</v>
      </c>
    </row>
    <row r="1258" spans="12:13">
      <c r="L1258" s="66">
        <v>254930</v>
      </c>
      <c r="M1258" t="s">
        <v>1184</v>
      </c>
    </row>
    <row r="1259" spans="12:13">
      <c r="L1259" s="66">
        <v>254931</v>
      </c>
      <c r="M1259" t="s">
        <v>1184</v>
      </c>
    </row>
    <row r="1260" spans="12:13">
      <c r="L1260" s="66">
        <v>254932</v>
      </c>
      <c r="M1260" t="s">
        <v>1185</v>
      </c>
    </row>
    <row r="1261" spans="12:13">
      <c r="L1261" s="66">
        <v>290000</v>
      </c>
      <c r="M1261" t="s">
        <v>1186</v>
      </c>
    </row>
    <row r="1262" spans="12:13">
      <c r="L1262" s="66">
        <v>291000</v>
      </c>
      <c r="M1262" t="s">
        <v>1186</v>
      </c>
    </row>
    <row r="1263" spans="12:13">
      <c r="L1263" s="66">
        <v>291100</v>
      </c>
      <c r="M1263" t="s">
        <v>1187</v>
      </c>
    </row>
    <row r="1264" spans="12:13">
      <c r="L1264" s="66">
        <v>291110</v>
      </c>
      <c r="M1264" t="s">
        <v>1188</v>
      </c>
    </row>
    <row r="1265" spans="12:13">
      <c r="L1265" s="66">
        <v>291111</v>
      </c>
      <c r="M1265" t="s">
        <v>1188</v>
      </c>
    </row>
    <row r="1266" spans="12:13">
      <c r="L1266" s="66">
        <v>291190</v>
      </c>
      <c r="M1266" t="s">
        <v>1189</v>
      </c>
    </row>
    <row r="1267" spans="12:13">
      <c r="L1267" s="66">
        <v>291191</v>
      </c>
      <c r="M1267" t="s">
        <v>1189</v>
      </c>
    </row>
    <row r="1268" spans="12:13">
      <c r="L1268" s="66">
        <v>291200</v>
      </c>
      <c r="M1268" t="s">
        <v>1190</v>
      </c>
    </row>
    <row r="1269" spans="12:13">
      <c r="L1269" s="66">
        <v>291210</v>
      </c>
      <c r="M1269" t="s">
        <v>1191</v>
      </c>
    </row>
    <row r="1270" spans="12:13">
      <c r="L1270" s="66">
        <v>291211</v>
      </c>
      <c r="M1270" t="s">
        <v>1192</v>
      </c>
    </row>
    <row r="1271" spans="12:13">
      <c r="L1271" s="66">
        <v>291212</v>
      </c>
      <c r="M1271" t="s">
        <v>1193</v>
      </c>
    </row>
    <row r="1272" spans="12:13">
      <c r="L1272" s="66">
        <v>291213</v>
      </c>
      <c r="M1272" t="s">
        <v>1194</v>
      </c>
    </row>
    <row r="1273" spans="12:13">
      <c r="L1273" s="66">
        <v>291220</v>
      </c>
      <c r="M1273" t="s">
        <v>1195</v>
      </c>
    </row>
    <row r="1274" spans="12:13">
      <c r="L1274" s="66">
        <v>291221</v>
      </c>
      <c r="M1274" t="s">
        <v>1195</v>
      </c>
    </row>
    <row r="1275" spans="12:13">
      <c r="L1275" s="66">
        <v>291300</v>
      </c>
      <c r="M1275" t="s">
        <v>1196</v>
      </c>
    </row>
    <row r="1276" spans="12:13">
      <c r="L1276" s="66">
        <v>291310</v>
      </c>
      <c r="M1276" t="s">
        <v>1196</v>
      </c>
    </row>
    <row r="1277" spans="12:13">
      <c r="L1277" s="66">
        <v>291311</v>
      </c>
      <c r="M1277" t="s">
        <v>1197</v>
      </c>
    </row>
    <row r="1278" spans="12:13">
      <c r="L1278" s="66">
        <v>291312</v>
      </c>
      <c r="M1278" t="s">
        <v>1198</v>
      </c>
    </row>
    <row r="1279" spans="12:13">
      <c r="L1279" s="66">
        <v>291900</v>
      </c>
      <c r="M1279" t="s">
        <v>1199</v>
      </c>
    </row>
    <row r="1280" spans="12:13">
      <c r="L1280" s="66">
        <v>291910</v>
      </c>
      <c r="M1280" t="s">
        <v>1199</v>
      </c>
    </row>
    <row r="1281" spans="12:13">
      <c r="L1281" s="66">
        <v>291911</v>
      </c>
      <c r="M1281" t="s">
        <v>1200</v>
      </c>
    </row>
    <row r="1282" spans="12:13">
      <c r="L1282" s="66">
        <v>291919</v>
      </c>
      <c r="M1282" t="s">
        <v>1199</v>
      </c>
    </row>
    <row r="1283" spans="12:13">
      <c r="L1283" s="66">
        <v>300000</v>
      </c>
      <c r="M1283" t="s">
        <v>1201</v>
      </c>
    </row>
    <row r="1284" spans="12:13">
      <c r="L1284" s="66">
        <v>310000</v>
      </c>
      <c r="M1284" t="s">
        <v>1202</v>
      </c>
    </row>
    <row r="1285" spans="12:13">
      <c r="L1285" s="66">
        <v>311000</v>
      </c>
      <c r="M1285" t="s">
        <v>1202</v>
      </c>
    </row>
    <row r="1286" spans="12:13">
      <c r="L1286" s="66">
        <v>311100</v>
      </c>
      <c r="M1286" t="s">
        <v>269</v>
      </c>
    </row>
    <row r="1287" spans="12:13">
      <c r="L1287" s="67">
        <v>311110</v>
      </c>
      <c r="M1287" t="s">
        <v>1203</v>
      </c>
    </row>
    <row r="1288" spans="12:13">
      <c r="L1288" s="66">
        <v>311111</v>
      </c>
      <c r="M1288" t="s">
        <v>271</v>
      </c>
    </row>
    <row r="1289" spans="12:13">
      <c r="L1289" s="66">
        <v>311112</v>
      </c>
      <c r="M1289" t="s">
        <v>327</v>
      </c>
    </row>
    <row r="1290" spans="12:13">
      <c r="L1290" s="66">
        <v>311113</v>
      </c>
      <c r="M1290" t="s">
        <v>394</v>
      </c>
    </row>
    <row r="1291" spans="12:13">
      <c r="L1291" s="66">
        <v>311120</v>
      </c>
      <c r="M1291" t="s">
        <v>399</v>
      </c>
    </row>
    <row r="1292" spans="12:13">
      <c r="L1292" s="66">
        <v>311121</v>
      </c>
      <c r="M1292" t="s">
        <v>399</v>
      </c>
    </row>
    <row r="1293" spans="12:13">
      <c r="L1293" s="66">
        <v>311130</v>
      </c>
      <c r="M1293" t="s">
        <v>405</v>
      </c>
    </row>
    <row r="1294" spans="12:13">
      <c r="L1294" s="66">
        <v>311131</v>
      </c>
      <c r="M1294" t="s">
        <v>405</v>
      </c>
    </row>
    <row r="1295" spans="12:13">
      <c r="L1295" s="66">
        <v>311140</v>
      </c>
      <c r="M1295" t="s">
        <v>1204</v>
      </c>
    </row>
    <row r="1296" spans="12:13">
      <c r="L1296" s="66">
        <v>311141</v>
      </c>
      <c r="M1296" t="s">
        <v>1204</v>
      </c>
    </row>
    <row r="1297" spans="12:13">
      <c r="L1297" s="66">
        <v>311150</v>
      </c>
      <c r="M1297" t="s">
        <v>441</v>
      </c>
    </row>
    <row r="1298" spans="12:13">
      <c r="L1298" s="66">
        <v>311151</v>
      </c>
      <c r="M1298" t="s">
        <v>441</v>
      </c>
    </row>
    <row r="1299" spans="12:13">
      <c r="L1299" s="66">
        <v>311160</v>
      </c>
      <c r="M1299" t="s">
        <v>491</v>
      </c>
    </row>
    <row r="1300" spans="12:13">
      <c r="L1300" s="66">
        <v>311161</v>
      </c>
      <c r="M1300" t="s">
        <v>491</v>
      </c>
    </row>
    <row r="1301" spans="12:13">
      <c r="L1301" s="66">
        <v>311200</v>
      </c>
      <c r="M1301" t="s">
        <v>522</v>
      </c>
    </row>
    <row r="1302" spans="12:13">
      <c r="L1302" s="66">
        <v>311210</v>
      </c>
      <c r="M1302" t="s">
        <v>1205</v>
      </c>
    </row>
    <row r="1303" spans="12:13">
      <c r="L1303" s="66">
        <v>311211</v>
      </c>
      <c r="M1303" t="s">
        <v>1205</v>
      </c>
    </row>
    <row r="1304" spans="12:13">
      <c r="L1304" s="66">
        <v>311220</v>
      </c>
      <c r="M1304" t="s">
        <v>1206</v>
      </c>
    </row>
    <row r="1305" spans="12:13">
      <c r="L1305" s="66">
        <v>311221</v>
      </c>
      <c r="M1305" t="s">
        <v>1206</v>
      </c>
    </row>
    <row r="1306" spans="12:13">
      <c r="L1306" s="66">
        <v>311230</v>
      </c>
      <c r="M1306" t="s">
        <v>1207</v>
      </c>
    </row>
    <row r="1307" spans="12:13">
      <c r="L1307" s="66">
        <v>311231</v>
      </c>
      <c r="M1307" t="s">
        <v>1207</v>
      </c>
    </row>
    <row r="1308" spans="12:13">
      <c r="L1308" s="66">
        <v>311240</v>
      </c>
      <c r="M1308" t="s">
        <v>1208</v>
      </c>
    </row>
    <row r="1309" spans="12:13">
      <c r="L1309" s="66">
        <v>311241</v>
      </c>
      <c r="M1309" t="s">
        <v>1208</v>
      </c>
    </row>
    <row r="1310" spans="12:13">
      <c r="L1310" s="66">
        <v>311250</v>
      </c>
      <c r="M1310" t="s">
        <v>1209</v>
      </c>
    </row>
    <row r="1311" spans="12:13">
      <c r="L1311" s="66">
        <v>311251</v>
      </c>
      <c r="M1311" t="s">
        <v>1209</v>
      </c>
    </row>
    <row r="1312" spans="12:13">
      <c r="L1312" s="66">
        <v>311260</v>
      </c>
      <c r="M1312" t="s">
        <v>542</v>
      </c>
    </row>
    <row r="1313" spans="12:13">
      <c r="L1313" s="66">
        <v>311261</v>
      </c>
      <c r="M1313" t="s">
        <v>542</v>
      </c>
    </row>
    <row r="1314" spans="12:13">
      <c r="L1314" s="66">
        <v>311270</v>
      </c>
      <c r="M1314" t="s">
        <v>539</v>
      </c>
    </row>
    <row r="1315" spans="12:13">
      <c r="L1315" s="66">
        <v>311271</v>
      </c>
      <c r="M1315" t="s">
        <v>539</v>
      </c>
    </row>
    <row r="1316" spans="12:13">
      <c r="L1316" s="66">
        <v>311300</v>
      </c>
      <c r="M1316" t="s">
        <v>1210</v>
      </c>
    </row>
    <row r="1317" spans="12:13">
      <c r="L1317" s="66">
        <v>311310</v>
      </c>
      <c r="M1317" t="s">
        <v>1210</v>
      </c>
    </row>
    <row r="1318" spans="12:13">
      <c r="L1318" s="66">
        <v>311311</v>
      </c>
      <c r="M1318" t="s">
        <v>1210</v>
      </c>
    </row>
    <row r="1319" spans="12:13">
      <c r="L1319" s="66">
        <v>311400</v>
      </c>
      <c r="M1319" t="s">
        <v>562</v>
      </c>
    </row>
    <row r="1320" spans="12:13">
      <c r="L1320" s="66">
        <v>311410</v>
      </c>
      <c r="M1320" t="s">
        <v>562</v>
      </c>
    </row>
    <row r="1321" spans="12:13">
      <c r="L1321" s="66">
        <v>311411</v>
      </c>
      <c r="M1321" t="s">
        <v>564</v>
      </c>
    </row>
    <row r="1322" spans="12:13">
      <c r="L1322" s="66">
        <v>311412</v>
      </c>
      <c r="M1322" t="s">
        <v>1211</v>
      </c>
    </row>
    <row r="1323" spans="12:13">
      <c r="L1323" s="66">
        <v>311419</v>
      </c>
      <c r="M1323" t="s">
        <v>1212</v>
      </c>
    </row>
    <row r="1324" spans="12:13">
      <c r="L1324" s="66">
        <v>311500</v>
      </c>
      <c r="M1324" t="s">
        <v>1213</v>
      </c>
    </row>
    <row r="1325" spans="12:13">
      <c r="L1325" s="66">
        <v>311510</v>
      </c>
      <c r="M1325" t="s">
        <v>1213</v>
      </c>
    </row>
    <row r="1326" spans="12:13">
      <c r="L1326" s="66">
        <v>311511</v>
      </c>
      <c r="M1326" t="s">
        <v>1214</v>
      </c>
    </row>
    <row r="1327" spans="12:13">
      <c r="L1327" s="66">
        <v>311512</v>
      </c>
      <c r="M1327" t="s">
        <v>1215</v>
      </c>
    </row>
    <row r="1328" spans="12:13">
      <c r="L1328" s="66">
        <v>311513</v>
      </c>
      <c r="M1328" t="s">
        <v>1216</v>
      </c>
    </row>
    <row r="1329" spans="12:13">
      <c r="L1329" s="66">
        <v>311519</v>
      </c>
      <c r="M1329" t="s">
        <v>1217</v>
      </c>
    </row>
    <row r="1330" spans="12:13">
      <c r="L1330" s="66">
        <v>311600</v>
      </c>
      <c r="M1330" t="s">
        <v>1218</v>
      </c>
    </row>
    <row r="1331" spans="12:13">
      <c r="L1331" s="66">
        <v>311610</v>
      </c>
      <c r="M1331" t="s">
        <v>1219</v>
      </c>
    </row>
    <row r="1332" spans="12:13">
      <c r="L1332" s="66">
        <v>311611</v>
      </c>
      <c r="M1332" t="s">
        <v>1220</v>
      </c>
    </row>
    <row r="1333" spans="12:13">
      <c r="L1333" s="66">
        <v>311612</v>
      </c>
      <c r="M1333" t="s">
        <v>1221</v>
      </c>
    </row>
    <row r="1334" spans="12:13">
      <c r="L1334" s="66">
        <v>311700</v>
      </c>
      <c r="M1334" t="s">
        <v>1222</v>
      </c>
    </row>
    <row r="1335" spans="12:13">
      <c r="L1335" s="66">
        <v>311710</v>
      </c>
      <c r="M1335" t="s">
        <v>1222</v>
      </c>
    </row>
    <row r="1336" spans="12:13">
      <c r="L1336" s="66">
        <v>311711</v>
      </c>
      <c r="M1336" t="s">
        <v>1223</v>
      </c>
    </row>
    <row r="1337" spans="12:13">
      <c r="L1337" s="66">
        <v>311712</v>
      </c>
      <c r="M1337" t="s">
        <v>1224</v>
      </c>
    </row>
    <row r="1338" spans="12:13">
      <c r="L1338" s="66">
        <v>311713</v>
      </c>
      <c r="M1338" t="s">
        <v>1225</v>
      </c>
    </row>
    <row r="1339" spans="12:13">
      <c r="L1339" s="66">
        <v>311900</v>
      </c>
      <c r="M1339" t="s">
        <v>1226</v>
      </c>
    </row>
    <row r="1340" spans="12:13">
      <c r="L1340" s="66">
        <v>311910</v>
      </c>
      <c r="M1340" t="s">
        <v>1226</v>
      </c>
    </row>
    <row r="1341" spans="12:13">
      <c r="L1341" s="66">
        <v>311911</v>
      </c>
      <c r="M1341" t="s">
        <v>1226</v>
      </c>
    </row>
    <row r="1342" spans="12:13">
      <c r="L1342" s="66">
        <v>320000</v>
      </c>
      <c r="M1342" t="s">
        <v>1227</v>
      </c>
    </row>
    <row r="1343" spans="12:13">
      <c r="L1343" s="66">
        <v>321000</v>
      </c>
      <c r="M1343" t="s">
        <v>1227</v>
      </c>
    </row>
    <row r="1344" spans="12:13">
      <c r="L1344" s="66">
        <v>321100</v>
      </c>
      <c r="M1344" t="s">
        <v>1227</v>
      </c>
    </row>
    <row r="1345" spans="12:13">
      <c r="L1345" s="66">
        <v>321110</v>
      </c>
      <c r="M1345" t="s">
        <v>1228</v>
      </c>
    </row>
    <row r="1346" spans="12:13">
      <c r="L1346" s="66">
        <v>321111</v>
      </c>
      <c r="M1346" t="s">
        <v>1228</v>
      </c>
    </row>
    <row r="1347" spans="12:13">
      <c r="L1347" s="66">
        <v>321120</v>
      </c>
      <c r="M1347" t="s">
        <v>1229</v>
      </c>
    </row>
    <row r="1348" spans="12:13">
      <c r="L1348" s="66">
        <v>321121</v>
      </c>
      <c r="M1348" t="s">
        <v>1230</v>
      </c>
    </row>
    <row r="1349" spans="12:13">
      <c r="L1349" s="66">
        <v>321122</v>
      </c>
      <c r="M1349" t="s">
        <v>1231</v>
      </c>
    </row>
    <row r="1350" spans="12:13">
      <c r="L1350" s="66">
        <v>321200</v>
      </c>
      <c r="M1350" t="s">
        <v>1232</v>
      </c>
    </row>
    <row r="1351" spans="12:13">
      <c r="L1351" s="66">
        <v>321210</v>
      </c>
      <c r="M1351" t="s">
        <v>1232</v>
      </c>
    </row>
    <row r="1352" spans="12:13">
      <c r="L1352" s="66">
        <v>321211</v>
      </c>
      <c r="M1352" t="s">
        <v>1232</v>
      </c>
    </row>
    <row r="1353" spans="12:13">
      <c r="L1353" s="66">
        <v>321300</v>
      </c>
      <c r="M1353" t="s">
        <v>1233</v>
      </c>
    </row>
    <row r="1354" spans="12:13">
      <c r="L1354" s="66">
        <v>321310</v>
      </c>
      <c r="M1354" t="s">
        <v>1233</v>
      </c>
    </row>
    <row r="1355" spans="12:13">
      <c r="L1355" s="66">
        <v>321311</v>
      </c>
      <c r="M1355" t="s">
        <v>1234</v>
      </c>
    </row>
    <row r="1356" spans="12:13">
      <c r="L1356" s="66">
        <v>321312</v>
      </c>
      <c r="M1356" t="s">
        <v>1235</v>
      </c>
    </row>
    <row r="1357" spans="12:13">
      <c r="L1357" s="66">
        <v>330000</v>
      </c>
      <c r="M1357" t="s">
        <v>1236</v>
      </c>
    </row>
    <row r="1358" spans="12:13">
      <c r="L1358" s="66">
        <v>331000</v>
      </c>
      <c r="M1358" t="s">
        <v>1236</v>
      </c>
    </row>
    <row r="1359" spans="12:13">
      <c r="L1359" s="66">
        <v>331100</v>
      </c>
      <c r="M1359" t="s">
        <v>1236</v>
      </c>
    </row>
    <row r="1360" spans="12:13">
      <c r="L1360" s="66">
        <v>331110</v>
      </c>
      <c r="M1360" t="s">
        <v>278</v>
      </c>
    </row>
    <row r="1361" spans="12:13">
      <c r="L1361" s="66">
        <v>331111</v>
      </c>
      <c r="M1361" t="s">
        <v>278</v>
      </c>
    </row>
    <row r="1362" spans="12:13">
      <c r="L1362" s="66">
        <v>331120</v>
      </c>
      <c r="M1362" t="s">
        <v>1237</v>
      </c>
    </row>
    <row r="1363" spans="12:13">
      <c r="L1363" s="66">
        <v>331121</v>
      </c>
      <c r="M1363" t="s">
        <v>1237</v>
      </c>
    </row>
    <row r="1364" spans="12:13">
      <c r="L1364" s="66">
        <v>331130</v>
      </c>
      <c r="M1364" t="s">
        <v>1238</v>
      </c>
    </row>
    <row r="1365" spans="12:13">
      <c r="L1365" s="66">
        <v>331131</v>
      </c>
      <c r="M1365" t="s">
        <v>1238</v>
      </c>
    </row>
    <row r="1366" spans="12:13">
      <c r="L1366" s="66">
        <v>331140</v>
      </c>
      <c r="M1366" t="s">
        <v>1239</v>
      </c>
    </row>
    <row r="1367" spans="12:13">
      <c r="L1367" s="66">
        <v>331141</v>
      </c>
      <c r="M1367" t="s">
        <v>1239</v>
      </c>
    </row>
    <row r="1368" spans="12:13">
      <c r="L1368" s="66">
        <v>331150</v>
      </c>
      <c r="M1368" t="s">
        <v>411</v>
      </c>
    </row>
    <row r="1369" spans="12:13">
      <c r="L1369" s="66">
        <v>331151</v>
      </c>
      <c r="M1369" t="s">
        <v>411</v>
      </c>
    </row>
    <row r="1370" spans="12:13">
      <c r="L1370" s="66">
        <v>331160</v>
      </c>
      <c r="M1370" t="s">
        <v>1240</v>
      </c>
    </row>
    <row r="1371" spans="12:13">
      <c r="L1371" s="66">
        <v>331161</v>
      </c>
      <c r="M1371" t="s">
        <v>1241</v>
      </c>
    </row>
    <row r="1372" spans="12:13">
      <c r="L1372" s="66">
        <v>331170</v>
      </c>
      <c r="M1372" t="s">
        <v>1242</v>
      </c>
    </row>
    <row r="1373" spans="12:13">
      <c r="L1373" s="66">
        <v>331171</v>
      </c>
      <c r="M1373" t="s">
        <v>1242</v>
      </c>
    </row>
    <row r="1374" spans="12:13">
      <c r="L1374" s="66">
        <v>331180</v>
      </c>
      <c r="M1374" t="s">
        <v>1243</v>
      </c>
    </row>
    <row r="1375" spans="12:13">
      <c r="L1375" s="66">
        <v>331181</v>
      </c>
      <c r="M1375" t="s">
        <v>1243</v>
      </c>
    </row>
    <row r="1376" spans="12:13">
      <c r="L1376" s="66">
        <v>340000</v>
      </c>
      <c r="M1376" t="s">
        <v>1244</v>
      </c>
    </row>
    <row r="1377" spans="12:13">
      <c r="L1377" s="66">
        <v>341000</v>
      </c>
      <c r="M1377" t="s">
        <v>1244</v>
      </c>
    </row>
    <row r="1378" spans="12:13">
      <c r="L1378" s="66">
        <v>341100</v>
      </c>
      <c r="M1378" t="s">
        <v>1244</v>
      </c>
    </row>
    <row r="1379" spans="12:13">
      <c r="L1379" s="66">
        <v>341110</v>
      </c>
      <c r="M1379" t="s">
        <v>279</v>
      </c>
    </row>
    <row r="1380" spans="12:13">
      <c r="L1380" s="66">
        <v>341111</v>
      </c>
      <c r="M1380" t="s">
        <v>279</v>
      </c>
    </row>
    <row r="1381" spans="12:13">
      <c r="L1381" s="66">
        <v>341120</v>
      </c>
      <c r="M1381" t="s">
        <v>1245</v>
      </c>
    </row>
    <row r="1382" spans="12:13">
      <c r="L1382" s="66">
        <v>341121</v>
      </c>
      <c r="M1382" t="s">
        <v>1245</v>
      </c>
    </row>
    <row r="1383" spans="12:13">
      <c r="L1383" s="66">
        <v>341130</v>
      </c>
      <c r="M1383" t="s">
        <v>1246</v>
      </c>
    </row>
    <row r="1384" spans="12:13">
      <c r="L1384" s="66">
        <v>341131</v>
      </c>
      <c r="M1384" t="s">
        <v>1246</v>
      </c>
    </row>
    <row r="1385" spans="12:13">
      <c r="L1385" s="66">
        <v>341140</v>
      </c>
      <c r="M1385" t="s">
        <v>403</v>
      </c>
    </row>
    <row r="1386" spans="12:13">
      <c r="L1386" s="66">
        <v>341141</v>
      </c>
      <c r="M1386" t="s">
        <v>403</v>
      </c>
    </row>
    <row r="1387" spans="12:13">
      <c r="L1387" s="66">
        <v>341150</v>
      </c>
      <c r="M1387" t="s">
        <v>412</v>
      </c>
    </row>
    <row r="1388" spans="12:13">
      <c r="L1388" s="66">
        <v>341151</v>
      </c>
      <c r="M1388" t="s">
        <v>412</v>
      </c>
    </row>
    <row r="1389" spans="12:13">
      <c r="L1389" s="66">
        <v>341160</v>
      </c>
      <c r="M1389" t="s">
        <v>1247</v>
      </c>
    </row>
    <row r="1390" spans="12:13">
      <c r="L1390" s="66">
        <v>341161</v>
      </c>
      <c r="M1390" t="s">
        <v>1247</v>
      </c>
    </row>
    <row r="1391" spans="12:13">
      <c r="L1391" s="66">
        <v>341170</v>
      </c>
      <c r="M1391" t="s">
        <v>510</v>
      </c>
    </row>
    <row r="1392" spans="12:13">
      <c r="L1392" s="66">
        <v>341171</v>
      </c>
      <c r="M1392" t="s">
        <v>510</v>
      </c>
    </row>
    <row r="1393" spans="12:13">
      <c r="L1393" s="66">
        <v>341180</v>
      </c>
      <c r="M1393" t="s">
        <v>1248</v>
      </c>
    </row>
    <row r="1394" spans="12:13">
      <c r="L1394" s="66">
        <v>341181</v>
      </c>
      <c r="M1394" t="s">
        <v>1248</v>
      </c>
    </row>
    <row r="1395" spans="12:13">
      <c r="L1395" s="66">
        <v>350000</v>
      </c>
      <c r="M1395" t="s">
        <v>1249</v>
      </c>
    </row>
    <row r="1396" spans="12:13">
      <c r="L1396" s="66">
        <v>351000</v>
      </c>
      <c r="M1396" t="s">
        <v>1250</v>
      </c>
    </row>
    <row r="1397" spans="12:13">
      <c r="L1397" s="66">
        <v>351100</v>
      </c>
      <c r="M1397" t="s">
        <v>1250</v>
      </c>
    </row>
    <row r="1398" spans="12:13">
      <c r="L1398" s="66">
        <v>351110</v>
      </c>
      <c r="M1398" t="s">
        <v>1251</v>
      </c>
    </row>
    <row r="1399" spans="12:13">
      <c r="L1399" s="66">
        <v>351111</v>
      </c>
      <c r="M1399" t="s">
        <v>1251</v>
      </c>
    </row>
    <row r="1400" spans="12:13">
      <c r="L1400" s="66">
        <v>351120</v>
      </c>
      <c r="M1400" t="s">
        <v>1252</v>
      </c>
    </row>
    <row r="1401" spans="12:13">
      <c r="L1401" s="66">
        <v>351121</v>
      </c>
      <c r="M1401" t="s">
        <v>1253</v>
      </c>
    </row>
    <row r="1402" spans="12:13">
      <c r="L1402" s="66">
        <v>351122</v>
      </c>
      <c r="M1402" t="s">
        <v>1254</v>
      </c>
    </row>
    <row r="1403" spans="12:13">
      <c r="L1403" s="66">
        <v>351123</v>
      </c>
      <c r="M1403" t="s">
        <v>1255</v>
      </c>
    </row>
    <row r="1404" spans="12:13">
      <c r="L1404" s="66">
        <v>351130</v>
      </c>
      <c r="M1404" t="s">
        <v>1256</v>
      </c>
    </row>
    <row r="1405" spans="12:13">
      <c r="L1405" s="66">
        <v>351131</v>
      </c>
      <c r="M1405" t="s">
        <v>1256</v>
      </c>
    </row>
    <row r="1406" spans="12:13">
      <c r="L1406" s="66">
        <v>351140</v>
      </c>
      <c r="M1406" t="s">
        <v>1257</v>
      </c>
    </row>
    <row r="1407" spans="12:13">
      <c r="L1407" s="66">
        <v>351141</v>
      </c>
      <c r="M1407" t="s">
        <v>1257</v>
      </c>
    </row>
    <row r="1408" spans="12:13">
      <c r="L1408" s="66">
        <v>351150</v>
      </c>
      <c r="M1408" t="s">
        <v>1258</v>
      </c>
    </row>
    <row r="1409" spans="12:13">
      <c r="L1409" s="66">
        <v>351151</v>
      </c>
      <c r="M1409" t="s">
        <v>1258</v>
      </c>
    </row>
    <row r="1410" spans="12:13">
      <c r="L1410" s="66">
        <v>352000</v>
      </c>
      <c r="M1410" t="s">
        <v>1259</v>
      </c>
    </row>
    <row r="1411" spans="12:13">
      <c r="L1411" s="66">
        <v>352100</v>
      </c>
      <c r="M1411" t="s">
        <v>1259</v>
      </c>
    </row>
    <row r="1412" spans="12:13">
      <c r="L1412" s="66">
        <v>352110</v>
      </c>
      <c r="M1412" t="s">
        <v>1260</v>
      </c>
    </row>
    <row r="1413" spans="12:13">
      <c r="L1413" s="66">
        <v>352111</v>
      </c>
      <c r="M1413" t="s">
        <v>1260</v>
      </c>
    </row>
    <row r="1414" spans="12:13">
      <c r="L1414" s="66">
        <v>352120</v>
      </c>
      <c r="M1414" t="s">
        <v>1261</v>
      </c>
    </row>
    <row r="1415" spans="12:13">
      <c r="L1415" s="66">
        <v>352121</v>
      </c>
      <c r="M1415" t="s">
        <v>1262</v>
      </c>
    </row>
    <row r="1416" spans="12:13">
      <c r="L1416" s="66">
        <v>352122</v>
      </c>
      <c r="M1416" t="s">
        <v>1263</v>
      </c>
    </row>
    <row r="1417" spans="12:13">
      <c r="L1417" s="66">
        <v>352123</v>
      </c>
      <c r="M1417" t="s">
        <v>1264</v>
      </c>
    </row>
    <row r="1418" spans="12:13">
      <c r="L1418" s="66">
        <v>352130</v>
      </c>
      <c r="M1418" t="s">
        <v>1265</v>
      </c>
    </row>
    <row r="1419" spans="12:13">
      <c r="L1419" s="66">
        <v>352131</v>
      </c>
      <c r="M1419" t="s">
        <v>1265</v>
      </c>
    </row>
    <row r="1420" spans="12:13">
      <c r="L1420" s="66">
        <v>352140</v>
      </c>
      <c r="M1420" t="s">
        <v>1266</v>
      </c>
    </row>
    <row r="1421" spans="12:13">
      <c r="L1421" s="66">
        <v>352141</v>
      </c>
      <c r="M1421" t="s">
        <v>1266</v>
      </c>
    </row>
    <row r="1422" spans="12:13">
      <c r="L1422" s="66">
        <v>352150</v>
      </c>
      <c r="M1422" t="s">
        <v>1267</v>
      </c>
    </row>
    <row r="1423" spans="12:13">
      <c r="L1423" s="66">
        <v>352151</v>
      </c>
      <c r="M1423" t="s">
        <v>1267</v>
      </c>
    </row>
    <row r="1424" spans="12:13">
      <c r="L1424" s="66">
        <v>400000</v>
      </c>
      <c r="M1424" t="s">
        <v>1268</v>
      </c>
    </row>
    <row r="1425" spans="12:13">
      <c r="L1425" s="66">
        <v>410000</v>
      </c>
      <c r="M1425" t="s">
        <v>1269</v>
      </c>
    </row>
    <row r="1426" spans="12:13">
      <c r="L1426" s="66">
        <v>411000</v>
      </c>
      <c r="M1426" t="s">
        <v>1270</v>
      </c>
    </row>
    <row r="1427" spans="12:13">
      <c r="L1427" s="66">
        <v>411100</v>
      </c>
      <c r="M1427" t="s">
        <v>1271</v>
      </c>
    </row>
    <row r="1428" spans="12:13">
      <c r="L1428" s="66">
        <v>411110</v>
      </c>
      <c r="M1428" t="s">
        <v>1271</v>
      </c>
    </row>
    <row r="1429" spans="12:13">
      <c r="L1429" s="66">
        <v>411111</v>
      </c>
      <c r="M1429" t="s">
        <v>1272</v>
      </c>
    </row>
    <row r="1430" spans="12:13">
      <c r="L1430" s="66">
        <v>411112</v>
      </c>
      <c r="M1430" t="s">
        <v>1273</v>
      </c>
    </row>
    <row r="1431" spans="12:13">
      <c r="L1431" s="66">
        <v>411113</v>
      </c>
      <c r="M1431" t="s">
        <v>1274</v>
      </c>
    </row>
    <row r="1432" spans="12:13">
      <c r="L1432" s="66">
        <v>411114</v>
      </c>
      <c r="M1432" t="s">
        <v>1275</v>
      </c>
    </row>
    <row r="1433" spans="12:13">
      <c r="L1433" s="66">
        <v>411115</v>
      </c>
      <c r="M1433" t="s">
        <v>1276</v>
      </c>
    </row>
    <row r="1434" spans="12:13">
      <c r="L1434" s="66">
        <v>411116</v>
      </c>
      <c r="M1434" t="s">
        <v>1277</v>
      </c>
    </row>
    <row r="1435" spans="12:13">
      <c r="L1435" s="66">
        <v>411117</v>
      </c>
      <c r="M1435" t="s">
        <v>1278</v>
      </c>
    </row>
    <row r="1436" spans="12:13">
      <c r="L1436" s="66">
        <v>411118</v>
      </c>
      <c r="M1436" t="s">
        <v>1279</v>
      </c>
    </row>
    <row r="1437" spans="12:13">
      <c r="L1437" s="67">
        <v>411119</v>
      </c>
      <c r="M1437" t="s">
        <v>1280</v>
      </c>
    </row>
    <row r="1438" spans="12:13">
      <c r="L1438" s="66">
        <v>411120</v>
      </c>
      <c r="M1438" t="s">
        <v>1281</v>
      </c>
    </row>
    <row r="1439" spans="12:13">
      <c r="L1439" s="66">
        <v>411121</v>
      </c>
      <c r="M1439" t="s">
        <v>1282</v>
      </c>
    </row>
    <row r="1440" spans="12:13">
      <c r="L1440" s="66">
        <v>411122</v>
      </c>
      <c r="M1440" t="s">
        <v>1283</v>
      </c>
    </row>
    <row r="1441" spans="12:13">
      <c r="L1441" s="66">
        <v>411130</v>
      </c>
      <c r="M1441" t="s">
        <v>1284</v>
      </c>
    </row>
    <row r="1442" spans="12:13">
      <c r="L1442" s="66">
        <v>411131</v>
      </c>
      <c r="M1442" t="s">
        <v>1284</v>
      </c>
    </row>
    <row r="1443" spans="12:13">
      <c r="L1443" s="66">
        <v>411140</v>
      </c>
      <c r="M1443" t="s">
        <v>1285</v>
      </c>
    </row>
    <row r="1444" spans="12:13">
      <c r="L1444" s="66">
        <v>411141</v>
      </c>
      <c r="M1444" t="s">
        <v>1285</v>
      </c>
    </row>
    <row r="1445" spans="12:13">
      <c r="L1445" s="66">
        <v>411150</v>
      </c>
      <c r="M1445" t="s">
        <v>1286</v>
      </c>
    </row>
    <row r="1446" spans="12:13">
      <c r="L1446" s="66">
        <v>411151</v>
      </c>
      <c r="M1446" t="s">
        <v>1287</v>
      </c>
    </row>
    <row r="1447" spans="12:13">
      <c r="L1447" s="66">
        <v>411159</v>
      </c>
      <c r="M1447" t="s">
        <v>1288</v>
      </c>
    </row>
    <row r="1448" spans="12:13">
      <c r="L1448" s="66">
        <v>411190</v>
      </c>
      <c r="M1448" t="s">
        <v>1289</v>
      </c>
    </row>
    <row r="1449" spans="12:13">
      <c r="L1449" s="66">
        <v>411191</v>
      </c>
      <c r="M1449" t="s">
        <v>1289</v>
      </c>
    </row>
    <row r="1450" spans="12:13">
      <c r="L1450" s="66">
        <v>412000</v>
      </c>
      <c r="M1450" t="s">
        <v>1290</v>
      </c>
    </row>
    <row r="1451" spans="12:13">
      <c r="L1451" s="66">
        <v>412100</v>
      </c>
      <c r="M1451" t="s">
        <v>1291</v>
      </c>
    </row>
    <row r="1452" spans="12:13">
      <c r="L1452" s="66">
        <v>412110</v>
      </c>
      <c r="M1452" t="s">
        <v>1291</v>
      </c>
    </row>
    <row r="1453" spans="12:13">
      <c r="L1453" s="66">
        <v>412111</v>
      </c>
      <c r="M1453" t="s">
        <v>1291</v>
      </c>
    </row>
    <row r="1454" spans="12:13">
      <c r="L1454" s="66">
        <v>412112</v>
      </c>
      <c r="M1454" t="s">
        <v>1292</v>
      </c>
    </row>
    <row r="1455" spans="12:13">
      <c r="L1455" s="66">
        <v>412113</v>
      </c>
      <c r="M1455" t="s">
        <v>1293</v>
      </c>
    </row>
    <row r="1456" spans="12:13">
      <c r="L1456" s="66">
        <v>412200</v>
      </c>
      <c r="M1456" t="s">
        <v>1294</v>
      </c>
    </row>
    <row r="1457" spans="12:13">
      <c r="L1457" s="66">
        <v>412210</v>
      </c>
      <c r="M1457" t="s">
        <v>1294</v>
      </c>
    </row>
    <row r="1458" spans="12:13">
      <c r="L1458" s="66">
        <v>412211</v>
      </c>
      <c r="M1458" t="s">
        <v>1294</v>
      </c>
    </row>
    <row r="1459" spans="12:13">
      <c r="L1459" s="66">
        <v>412221</v>
      </c>
      <c r="M1459" t="s">
        <v>1295</v>
      </c>
    </row>
    <row r="1460" spans="12:13">
      <c r="L1460" s="66">
        <v>412300</v>
      </c>
      <c r="M1460" t="s">
        <v>1296</v>
      </c>
    </row>
    <row r="1461" spans="12:13">
      <c r="L1461" s="66">
        <v>412310</v>
      </c>
      <c r="M1461" t="s">
        <v>1296</v>
      </c>
    </row>
    <row r="1462" spans="12:13">
      <c r="L1462" s="66">
        <v>412311</v>
      </c>
      <c r="M1462" t="s">
        <v>1296</v>
      </c>
    </row>
    <row r="1463" spans="12:13">
      <c r="L1463" s="66">
        <v>413000</v>
      </c>
      <c r="M1463" t="s">
        <v>1297</v>
      </c>
    </row>
    <row r="1464" spans="12:13">
      <c r="L1464" s="66">
        <v>413100</v>
      </c>
      <c r="M1464" t="s">
        <v>1297</v>
      </c>
    </row>
    <row r="1465" spans="12:13">
      <c r="L1465" s="66">
        <v>413110</v>
      </c>
      <c r="M1465" t="s">
        <v>1297</v>
      </c>
    </row>
    <row r="1466" spans="12:13">
      <c r="L1466" s="66">
        <v>413111</v>
      </c>
      <c r="M1466" t="s">
        <v>1298</v>
      </c>
    </row>
    <row r="1467" spans="12:13">
      <c r="L1467" s="66">
        <v>413112</v>
      </c>
      <c r="M1467" t="s">
        <v>1299</v>
      </c>
    </row>
    <row r="1468" spans="12:13">
      <c r="L1468" s="66">
        <v>413119</v>
      </c>
      <c r="M1468" t="s">
        <v>1300</v>
      </c>
    </row>
    <row r="1469" spans="12:13">
      <c r="L1469" s="66">
        <v>413120</v>
      </c>
      <c r="M1469" t="s">
        <v>1301</v>
      </c>
    </row>
    <row r="1470" spans="12:13">
      <c r="L1470" s="66">
        <v>413121</v>
      </c>
      <c r="M1470" t="s">
        <v>1301</v>
      </c>
    </row>
    <row r="1471" spans="12:13">
      <c r="L1471" s="66">
        <v>413130</v>
      </c>
      <c r="M1471" t="s">
        <v>1302</v>
      </c>
    </row>
    <row r="1472" spans="12:13">
      <c r="L1472" s="66">
        <v>413131</v>
      </c>
      <c r="M1472" t="s">
        <v>1303</v>
      </c>
    </row>
    <row r="1473" spans="12:13">
      <c r="L1473" s="66">
        <v>413139</v>
      </c>
      <c r="M1473" t="s">
        <v>1304</v>
      </c>
    </row>
    <row r="1474" spans="12:13">
      <c r="L1474" s="66">
        <v>413140</v>
      </c>
      <c r="M1474" t="s">
        <v>1305</v>
      </c>
    </row>
    <row r="1475" spans="12:13">
      <c r="L1475" s="66">
        <v>413141</v>
      </c>
      <c r="M1475" t="s">
        <v>1306</v>
      </c>
    </row>
    <row r="1476" spans="12:13">
      <c r="L1476" s="66">
        <v>413142</v>
      </c>
      <c r="M1476" t="s">
        <v>1307</v>
      </c>
    </row>
    <row r="1477" spans="12:13">
      <c r="L1477" s="66">
        <v>413150</v>
      </c>
      <c r="M1477" t="s">
        <v>1308</v>
      </c>
    </row>
    <row r="1478" spans="12:13">
      <c r="L1478" s="66">
        <v>413151</v>
      </c>
      <c r="M1478" t="s">
        <v>1308</v>
      </c>
    </row>
    <row r="1479" spans="12:13">
      <c r="L1479" s="66">
        <v>413160</v>
      </c>
      <c r="M1479" t="s">
        <v>1309</v>
      </c>
    </row>
    <row r="1480" spans="12:13">
      <c r="L1480" s="66">
        <v>413161</v>
      </c>
      <c r="M1480" t="s">
        <v>1309</v>
      </c>
    </row>
    <row r="1481" spans="12:13">
      <c r="L1481" s="66">
        <v>413170</v>
      </c>
      <c r="M1481" t="s">
        <v>1310</v>
      </c>
    </row>
    <row r="1482" spans="12:13">
      <c r="L1482" s="66">
        <v>413171</v>
      </c>
      <c r="M1482" t="s">
        <v>1310</v>
      </c>
    </row>
    <row r="1483" spans="12:13">
      <c r="L1483" s="66">
        <v>413180</v>
      </c>
      <c r="M1483" t="s">
        <v>1311</v>
      </c>
    </row>
    <row r="1484" spans="12:13">
      <c r="L1484" s="66">
        <v>413181</v>
      </c>
      <c r="M1484" t="s">
        <v>1311</v>
      </c>
    </row>
    <row r="1485" spans="12:13">
      <c r="L1485" s="66">
        <v>414000</v>
      </c>
      <c r="M1485" t="s">
        <v>1312</v>
      </c>
    </row>
    <row r="1486" spans="12:13">
      <c r="L1486" s="66">
        <v>414100</v>
      </c>
      <c r="M1486" t="s">
        <v>1313</v>
      </c>
    </row>
    <row r="1487" spans="12:13">
      <c r="L1487" s="66">
        <v>414110</v>
      </c>
      <c r="M1487" t="s">
        <v>1314</v>
      </c>
    </row>
    <row r="1488" spans="12:13">
      <c r="L1488" s="66">
        <v>414111</v>
      </c>
      <c r="M1488" t="s">
        <v>1314</v>
      </c>
    </row>
    <row r="1489" spans="12:13">
      <c r="L1489" s="66">
        <v>414120</v>
      </c>
      <c r="M1489" t="s">
        <v>1315</v>
      </c>
    </row>
    <row r="1490" spans="12:13">
      <c r="L1490" s="66">
        <v>414121</v>
      </c>
      <c r="M1490" t="s">
        <v>1315</v>
      </c>
    </row>
    <row r="1491" spans="12:13">
      <c r="L1491" s="66">
        <v>414130</v>
      </c>
      <c r="M1491" t="s">
        <v>1316</v>
      </c>
    </row>
    <row r="1492" spans="12:13">
      <c r="L1492" s="66">
        <v>414131</v>
      </c>
      <c r="M1492" t="s">
        <v>1316</v>
      </c>
    </row>
    <row r="1493" spans="12:13">
      <c r="L1493" s="66">
        <v>414200</v>
      </c>
      <c r="M1493" t="s">
        <v>1317</v>
      </c>
    </row>
    <row r="1494" spans="12:13">
      <c r="L1494" s="66">
        <v>414210</v>
      </c>
      <c r="M1494" t="s">
        <v>1317</v>
      </c>
    </row>
    <row r="1495" spans="12:13">
      <c r="L1495" s="66">
        <v>414211</v>
      </c>
      <c r="M1495" t="s">
        <v>1317</v>
      </c>
    </row>
    <row r="1496" spans="12:13">
      <c r="L1496" s="66">
        <v>414300</v>
      </c>
      <c r="M1496" t="s">
        <v>1318</v>
      </c>
    </row>
    <row r="1497" spans="12:13">
      <c r="L1497" s="66">
        <v>414310</v>
      </c>
      <c r="M1497" t="s">
        <v>1318</v>
      </c>
    </row>
    <row r="1498" spans="12:13">
      <c r="L1498" s="66">
        <v>414311</v>
      </c>
      <c r="M1498" t="s">
        <v>1319</v>
      </c>
    </row>
    <row r="1499" spans="12:13">
      <c r="L1499" s="66">
        <v>414312</v>
      </c>
      <c r="M1499" t="s">
        <v>1320</v>
      </c>
    </row>
    <row r="1500" spans="12:13">
      <c r="L1500" s="66">
        <v>414314</v>
      </c>
      <c r="M1500" t="s">
        <v>1321</v>
      </c>
    </row>
    <row r="1501" spans="12:13">
      <c r="L1501" s="66">
        <v>414400</v>
      </c>
      <c r="M1501" t="s">
        <v>1322</v>
      </c>
    </row>
    <row r="1502" spans="12:13">
      <c r="L1502" s="66">
        <v>414410</v>
      </c>
      <c r="M1502" t="s">
        <v>1322</v>
      </c>
    </row>
    <row r="1503" spans="12:13">
      <c r="L1503" s="66">
        <v>414411</v>
      </c>
      <c r="M1503" t="s">
        <v>1323</v>
      </c>
    </row>
    <row r="1504" spans="12:13">
      <c r="L1504" s="66">
        <v>414412</v>
      </c>
      <c r="M1504" t="s">
        <v>1324</v>
      </c>
    </row>
    <row r="1505" spans="12:13">
      <c r="L1505" s="66">
        <v>414419</v>
      </c>
      <c r="M1505" t="s">
        <v>1325</v>
      </c>
    </row>
    <row r="1506" spans="12:13">
      <c r="L1506" s="66">
        <v>415000</v>
      </c>
      <c r="M1506" t="s">
        <v>1326</v>
      </c>
    </row>
    <row r="1507" spans="12:13">
      <c r="L1507" s="66">
        <v>415100</v>
      </c>
      <c r="M1507" t="s">
        <v>1326</v>
      </c>
    </row>
    <row r="1508" spans="12:13">
      <c r="L1508" s="66">
        <v>415110</v>
      </c>
      <c r="M1508" t="s">
        <v>1326</v>
      </c>
    </row>
    <row r="1509" spans="12:13">
      <c r="L1509" s="66">
        <v>415111</v>
      </c>
      <c r="M1509" t="s">
        <v>1327</v>
      </c>
    </row>
    <row r="1510" spans="12:13">
      <c r="L1510" s="66">
        <v>415112</v>
      </c>
      <c r="M1510" t="s">
        <v>1328</v>
      </c>
    </row>
    <row r="1511" spans="12:13">
      <c r="L1511" s="66">
        <v>415113</v>
      </c>
      <c r="M1511" t="s">
        <v>1329</v>
      </c>
    </row>
    <row r="1512" spans="12:13">
      <c r="L1512" s="66">
        <v>415114</v>
      </c>
      <c r="M1512" t="s">
        <v>1330</v>
      </c>
    </row>
    <row r="1513" spans="12:13">
      <c r="L1513" s="66">
        <v>415119</v>
      </c>
      <c r="M1513" t="s">
        <v>1331</v>
      </c>
    </row>
    <row r="1514" spans="12:13">
      <c r="L1514" s="66">
        <v>416000</v>
      </c>
      <c r="M1514" t="s">
        <v>1332</v>
      </c>
    </row>
    <row r="1515" spans="12:13">
      <c r="L1515" s="66">
        <v>416100</v>
      </c>
      <c r="M1515" t="s">
        <v>1332</v>
      </c>
    </row>
    <row r="1516" spans="12:13">
      <c r="L1516" s="66">
        <v>416110</v>
      </c>
      <c r="M1516" t="s">
        <v>1333</v>
      </c>
    </row>
    <row r="1517" spans="12:13">
      <c r="L1517" s="66">
        <v>416111</v>
      </c>
      <c r="M1517" t="s">
        <v>1334</v>
      </c>
    </row>
    <row r="1518" spans="12:13">
      <c r="L1518" s="66">
        <v>416112</v>
      </c>
      <c r="M1518" t="s">
        <v>1335</v>
      </c>
    </row>
    <row r="1519" spans="12:13">
      <c r="L1519" s="66">
        <v>416119</v>
      </c>
      <c r="M1519" t="s">
        <v>1336</v>
      </c>
    </row>
    <row r="1520" spans="12:13">
      <c r="L1520" s="66">
        <v>416120</v>
      </c>
      <c r="M1520" t="s">
        <v>1337</v>
      </c>
    </row>
    <row r="1521" spans="12:13">
      <c r="L1521" s="66">
        <v>416121</v>
      </c>
      <c r="M1521" t="s">
        <v>1338</v>
      </c>
    </row>
    <row r="1522" spans="12:13">
      <c r="L1522" s="66">
        <v>416130</v>
      </c>
      <c r="M1522" t="s">
        <v>1339</v>
      </c>
    </row>
    <row r="1523" spans="12:13">
      <c r="L1523" s="66">
        <v>416131</v>
      </c>
      <c r="M1523" t="s">
        <v>1340</v>
      </c>
    </row>
    <row r="1524" spans="12:13">
      <c r="L1524" s="66">
        <v>416132</v>
      </c>
      <c r="M1524" t="s">
        <v>1341</v>
      </c>
    </row>
    <row r="1525" spans="12:13">
      <c r="L1525" s="66">
        <v>417000</v>
      </c>
      <c r="M1525" t="s">
        <v>1342</v>
      </c>
    </row>
    <row r="1526" spans="12:13">
      <c r="L1526" s="66">
        <v>417100</v>
      </c>
      <c r="M1526" t="s">
        <v>1342</v>
      </c>
    </row>
    <row r="1527" spans="12:13">
      <c r="L1527" s="66">
        <v>417110</v>
      </c>
      <c r="M1527" t="s">
        <v>1342</v>
      </c>
    </row>
    <row r="1528" spans="12:13">
      <c r="L1528" s="66">
        <v>417111</v>
      </c>
      <c r="M1528" t="s">
        <v>1342</v>
      </c>
    </row>
    <row r="1529" spans="12:13">
      <c r="L1529" s="66">
        <v>418000</v>
      </c>
      <c r="M1529" t="s">
        <v>1343</v>
      </c>
    </row>
    <row r="1530" spans="12:13">
      <c r="L1530" s="66">
        <v>418100</v>
      </c>
      <c r="M1530" t="s">
        <v>1343</v>
      </c>
    </row>
    <row r="1531" spans="12:13">
      <c r="L1531" s="66">
        <v>418110</v>
      </c>
      <c r="M1531" t="s">
        <v>1343</v>
      </c>
    </row>
    <row r="1532" spans="12:13">
      <c r="L1532" s="66">
        <v>418111</v>
      </c>
      <c r="M1532" t="s">
        <v>1343</v>
      </c>
    </row>
    <row r="1533" spans="12:13">
      <c r="L1533" s="66">
        <v>420000</v>
      </c>
      <c r="M1533" t="s">
        <v>1344</v>
      </c>
    </row>
    <row r="1534" spans="12:13">
      <c r="L1534" s="66">
        <v>421000</v>
      </c>
      <c r="M1534" t="s">
        <v>1345</v>
      </c>
    </row>
    <row r="1535" spans="12:13">
      <c r="L1535" s="66">
        <v>421100</v>
      </c>
      <c r="M1535" t="s">
        <v>1346</v>
      </c>
    </row>
    <row r="1536" spans="12:13">
      <c r="L1536" s="66">
        <v>421110</v>
      </c>
      <c r="M1536" t="s">
        <v>1347</v>
      </c>
    </row>
    <row r="1537" spans="12:13">
      <c r="L1537" s="66">
        <v>421111</v>
      </c>
      <c r="M1537" t="s">
        <v>1347</v>
      </c>
    </row>
    <row r="1538" spans="12:13">
      <c r="L1538" s="66">
        <v>421120</v>
      </c>
      <c r="M1538" t="s">
        <v>1348</v>
      </c>
    </row>
    <row r="1539" spans="12:13">
      <c r="L1539" s="66">
        <v>421121</v>
      </c>
      <c r="M1539" t="s">
        <v>1348</v>
      </c>
    </row>
    <row r="1540" spans="12:13">
      <c r="L1540" s="66">
        <v>421200</v>
      </c>
      <c r="M1540" t="s">
        <v>1349</v>
      </c>
    </row>
    <row r="1541" spans="12:13">
      <c r="L1541" s="66">
        <v>421210</v>
      </c>
      <c r="M1541" t="s">
        <v>1350</v>
      </c>
    </row>
    <row r="1542" spans="12:13">
      <c r="L1542" s="66">
        <v>421211</v>
      </c>
      <c r="M1542" t="s">
        <v>1350</v>
      </c>
    </row>
    <row r="1543" spans="12:13">
      <c r="L1543" s="66">
        <v>421220</v>
      </c>
      <c r="M1543" t="s">
        <v>1351</v>
      </c>
    </row>
    <row r="1544" spans="12:13">
      <c r="L1544" s="66">
        <v>421221</v>
      </c>
      <c r="M1544" t="s">
        <v>1352</v>
      </c>
    </row>
    <row r="1545" spans="12:13">
      <c r="L1545" s="66">
        <v>421222</v>
      </c>
      <c r="M1545" t="s">
        <v>1353</v>
      </c>
    </row>
    <row r="1546" spans="12:13">
      <c r="L1546" s="66">
        <v>421223</v>
      </c>
      <c r="M1546" t="s">
        <v>1354</v>
      </c>
    </row>
    <row r="1547" spans="12:13">
      <c r="L1547" s="66">
        <v>421224</v>
      </c>
      <c r="M1547" t="s">
        <v>1355</v>
      </c>
    </row>
    <row r="1548" spans="12:13">
      <c r="L1548" s="66">
        <v>421225</v>
      </c>
      <c r="M1548" t="s">
        <v>1356</v>
      </c>
    </row>
    <row r="1549" spans="12:13">
      <c r="L1549" s="66">
        <v>421300</v>
      </c>
      <c r="M1549" t="s">
        <v>1357</v>
      </c>
    </row>
    <row r="1550" spans="12:13">
      <c r="L1550" s="66">
        <v>421310</v>
      </c>
      <c r="M1550" t="s">
        <v>1358</v>
      </c>
    </row>
    <row r="1551" spans="12:13">
      <c r="L1551" s="66">
        <v>421311</v>
      </c>
      <c r="M1551" t="s">
        <v>1358</v>
      </c>
    </row>
    <row r="1552" spans="12:13">
      <c r="L1552" s="66">
        <v>421320</v>
      </c>
      <c r="M1552" t="s">
        <v>1359</v>
      </c>
    </row>
    <row r="1553" spans="12:13">
      <c r="L1553" s="66">
        <v>421321</v>
      </c>
      <c r="M1553" t="s">
        <v>1360</v>
      </c>
    </row>
    <row r="1554" spans="12:13">
      <c r="L1554" s="66">
        <v>421322</v>
      </c>
      <c r="M1554" t="s">
        <v>1361</v>
      </c>
    </row>
    <row r="1555" spans="12:13">
      <c r="L1555" s="66">
        <v>421323</v>
      </c>
      <c r="M1555" t="s">
        <v>1362</v>
      </c>
    </row>
    <row r="1556" spans="12:13">
      <c r="L1556" s="66">
        <v>421324</v>
      </c>
      <c r="M1556" t="s">
        <v>1363</v>
      </c>
    </row>
    <row r="1557" spans="12:13">
      <c r="L1557" s="66">
        <v>421325</v>
      </c>
      <c r="M1557" t="s">
        <v>1364</v>
      </c>
    </row>
    <row r="1558" spans="12:13">
      <c r="L1558" s="66">
        <v>421390</v>
      </c>
      <c r="M1558" t="s">
        <v>1365</v>
      </c>
    </row>
    <row r="1559" spans="12:13">
      <c r="L1559" s="66">
        <v>421391</v>
      </c>
      <c r="M1559" t="s">
        <v>1366</v>
      </c>
    </row>
    <row r="1560" spans="12:13">
      <c r="L1560" s="66">
        <v>421392</v>
      </c>
      <c r="M1560" t="s">
        <v>1367</v>
      </c>
    </row>
    <row r="1561" spans="12:13">
      <c r="L1561" s="66">
        <v>421400</v>
      </c>
      <c r="M1561" t="s">
        <v>1368</v>
      </c>
    </row>
    <row r="1562" spans="12:13">
      <c r="L1562" s="66">
        <v>421410</v>
      </c>
      <c r="M1562" t="s">
        <v>1369</v>
      </c>
    </row>
    <row r="1563" spans="12:13">
      <c r="L1563" s="66">
        <v>421411</v>
      </c>
      <c r="M1563" t="s">
        <v>1370</v>
      </c>
    </row>
    <row r="1564" spans="12:13">
      <c r="L1564" s="66">
        <v>421412</v>
      </c>
      <c r="M1564" t="s">
        <v>1371</v>
      </c>
    </row>
    <row r="1565" spans="12:13">
      <c r="L1565" s="66">
        <v>421413</v>
      </c>
      <c r="M1565" t="s">
        <v>1372</v>
      </c>
    </row>
    <row r="1566" spans="12:13">
      <c r="L1566" s="66">
        <v>421414</v>
      </c>
      <c r="M1566" t="s">
        <v>1373</v>
      </c>
    </row>
    <row r="1567" spans="12:13">
      <c r="L1567" s="66">
        <v>421419</v>
      </c>
      <c r="M1567" t="s">
        <v>1374</v>
      </c>
    </row>
    <row r="1568" spans="12:13">
      <c r="L1568" s="66">
        <v>421420</v>
      </c>
      <c r="M1568" t="s">
        <v>1375</v>
      </c>
    </row>
    <row r="1569" spans="12:13">
      <c r="L1569" s="66">
        <v>421421</v>
      </c>
      <c r="M1569" t="s">
        <v>1376</v>
      </c>
    </row>
    <row r="1570" spans="12:13">
      <c r="L1570" s="66">
        <v>421422</v>
      </c>
      <c r="M1570" t="s">
        <v>1377</v>
      </c>
    </row>
    <row r="1571" spans="12:13">
      <c r="L1571" s="66">
        <v>421429</v>
      </c>
      <c r="M1571" t="s">
        <v>1378</v>
      </c>
    </row>
    <row r="1572" spans="12:13">
      <c r="L1572" s="66">
        <v>421500</v>
      </c>
      <c r="M1572" t="s">
        <v>1379</v>
      </c>
    </row>
    <row r="1573" spans="12:13">
      <c r="L1573" s="66">
        <v>421510</v>
      </c>
      <c r="M1573" t="s">
        <v>1380</v>
      </c>
    </row>
    <row r="1574" spans="12:13">
      <c r="L1574" s="66">
        <v>421511</v>
      </c>
      <c r="M1574" t="s">
        <v>1381</v>
      </c>
    </row>
    <row r="1575" spans="12:13">
      <c r="L1575" s="66">
        <v>421512</v>
      </c>
      <c r="M1575" t="s">
        <v>1382</v>
      </c>
    </row>
    <row r="1576" spans="12:13">
      <c r="L1576" s="66">
        <v>421513</v>
      </c>
      <c r="M1576" t="s">
        <v>1383</v>
      </c>
    </row>
    <row r="1577" spans="12:13">
      <c r="L1577" s="66">
        <v>421519</v>
      </c>
      <c r="M1577" t="s">
        <v>1384</v>
      </c>
    </row>
    <row r="1578" spans="12:13">
      <c r="L1578" s="66">
        <v>421520</v>
      </c>
      <c r="M1578" t="s">
        <v>1385</v>
      </c>
    </row>
    <row r="1579" spans="12:13">
      <c r="L1579" s="66">
        <v>421521</v>
      </c>
      <c r="M1579" t="s">
        <v>1386</v>
      </c>
    </row>
    <row r="1580" spans="12:13">
      <c r="L1580" s="66">
        <v>421522</v>
      </c>
      <c r="M1580" t="s">
        <v>1387</v>
      </c>
    </row>
    <row r="1581" spans="12:13">
      <c r="L1581" s="66">
        <v>421523</v>
      </c>
      <c r="M1581" t="s">
        <v>1388</v>
      </c>
    </row>
    <row r="1582" spans="12:13">
      <c r="L1582" s="66">
        <v>421600</v>
      </c>
      <c r="M1582" t="s">
        <v>1389</v>
      </c>
    </row>
    <row r="1583" spans="12:13">
      <c r="L1583" s="66">
        <v>421610</v>
      </c>
      <c r="M1583" t="s">
        <v>1390</v>
      </c>
    </row>
    <row r="1584" spans="12:13">
      <c r="L1584" s="66">
        <v>421611</v>
      </c>
      <c r="M1584" t="s">
        <v>1391</v>
      </c>
    </row>
    <row r="1585" spans="12:13">
      <c r="L1585" s="66">
        <v>421612</v>
      </c>
      <c r="M1585" t="s">
        <v>1392</v>
      </c>
    </row>
    <row r="1586" spans="12:13">
      <c r="L1586" s="66">
        <v>421619</v>
      </c>
      <c r="M1586" t="s">
        <v>1393</v>
      </c>
    </row>
    <row r="1587" spans="12:13">
      <c r="L1587" s="66">
        <v>421620</v>
      </c>
      <c r="M1587" t="s">
        <v>1394</v>
      </c>
    </row>
    <row r="1588" spans="12:13">
      <c r="L1588" s="66">
        <v>421621</v>
      </c>
      <c r="M1588" t="s">
        <v>1395</v>
      </c>
    </row>
    <row r="1589" spans="12:13">
      <c r="L1589" s="66">
        <v>421622</v>
      </c>
      <c r="M1589" t="s">
        <v>1396</v>
      </c>
    </row>
    <row r="1590" spans="12:13">
      <c r="L1590" s="66">
        <v>421623</v>
      </c>
      <c r="M1590" t="s">
        <v>1397</v>
      </c>
    </row>
    <row r="1591" spans="12:13">
      <c r="L1591" s="66">
        <v>421624</v>
      </c>
      <c r="M1591" t="s">
        <v>1398</v>
      </c>
    </row>
    <row r="1592" spans="12:13">
      <c r="L1592" s="66">
        <v>421625</v>
      </c>
      <c r="M1592" t="s">
        <v>1399</v>
      </c>
    </row>
    <row r="1593" spans="12:13">
      <c r="L1593" s="66">
        <v>421626</v>
      </c>
      <c r="M1593" t="s">
        <v>1400</v>
      </c>
    </row>
    <row r="1594" spans="12:13">
      <c r="L1594" s="66">
        <v>421627</v>
      </c>
      <c r="M1594" t="s">
        <v>1401</v>
      </c>
    </row>
    <row r="1595" spans="12:13">
      <c r="L1595" s="66">
        <v>421628</v>
      </c>
      <c r="M1595" t="s">
        <v>1402</v>
      </c>
    </row>
    <row r="1596" spans="12:13">
      <c r="L1596" s="66">
        <v>421629</v>
      </c>
      <c r="M1596" t="s">
        <v>1403</v>
      </c>
    </row>
    <row r="1597" spans="12:13">
      <c r="L1597" s="66">
        <v>421900</v>
      </c>
      <c r="M1597" t="s">
        <v>1404</v>
      </c>
    </row>
    <row r="1598" spans="12:13">
      <c r="L1598" s="66">
        <v>421910</v>
      </c>
      <c r="M1598" t="s">
        <v>1404</v>
      </c>
    </row>
    <row r="1599" spans="12:13">
      <c r="L1599" s="66">
        <v>421911</v>
      </c>
      <c r="M1599" t="s">
        <v>1405</v>
      </c>
    </row>
    <row r="1600" spans="12:13">
      <c r="L1600" s="66">
        <v>421919</v>
      </c>
      <c r="M1600" t="s">
        <v>1406</v>
      </c>
    </row>
    <row r="1601" spans="12:13">
      <c r="L1601" s="66">
        <v>422000</v>
      </c>
      <c r="M1601" t="s">
        <v>1407</v>
      </c>
    </row>
    <row r="1602" spans="12:13">
      <c r="L1602" s="66">
        <v>422100</v>
      </c>
      <c r="M1602" t="s">
        <v>1408</v>
      </c>
    </row>
    <row r="1603" spans="12:13">
      <c r="L1603" s="66">
        <v>422110</v>
      </c>
      <c r="M1603" t="s">
        <v>1409</v>
      </c>
    </row>
    <row r="1604" spans="12:13">
      <c r="L1604" s="66">
        <v>422111</v>
      </c>
      <c r="M1604" t="s">
        <v>1409</v>
      </c>
    </row>
    <row r="1605" spans="12:13">
      <c r="L1605" s="66">
        <v>422120</v>
      </c>
      <c r="M1605" t="s">
        <v>1410</v>
      </c>
    </row>
    <row r="1606" spans="12:13">
      <c r="L1606" s="66">
        <v>422121</v>
      </c>
      <c r="M1606" t="s">
        <v>1410</v>
      </c>
    </row>
    <row r="1607" spans="12:13">
      <c r="L1607" s="66">
        <v>422130</v>
      </c>
      <c r="M1607" t="s">
        <v>1411</v>
      </c>
    </row>
    <row r="1608" spans="12:13">
      <c r="L1608" s="66">
        <v>422131</v>
      </c>
      <c r="M1608" t="s">
        <v>1411</v>
      </c>
    </row>
    <row r="1609" spans="12:13">
      <c r="L1609" s="66">
        <v>422190</v>
      </c>
      <c r="M1609" t="s">
        <v>1412</v>
      </c>
    </row>
    <row r="1610" spans="12:13">
      <c r="L1610" s="66">
        <v>422191</v>
      </c>
      <c r="M1610" t="s">
        <v>1413</v>
      </c>
    </row>
    <row r="1611" spans="12:13">
      <c r="L1611" s="66">
        <v>422192</v>
      </c>
      <c r="M1611" t="s">
        <v>1414</v>
      </c>
    </row>
    <row r="1612" spans="12:13">
      <c r="L1612" s="66">
        <v>422193</v>
      </c>
      <c r="M1612" t="s">
        <v>1415</v>
      </c>
    </row>
    <row r="1613" spans="12:13">
      <c r="L1613" s="66">
        <v>422194</v>
      </c>
      <c r="M1613" t="s">
        <v>1416</v>
      </c>
    </row>
    <row r="1614" spans="12:13">
      <c r="L1614" s="66">
        <v>422199</v>
      </c>
      <c r="M1614" t="s">
        <v>1417</v>
      </c>
    </row>
    <row r="1615" spans="12:13">
      <c r="L1615" s="66">
        <v>422200</v>
      </c>
      <c r="M1615" t="s">
        <v>1418</v>
      </c>
    </row>
    <row r="1616" spans="12:13">
      <c r="L1616" s="66">
        <v>422210</v>
      </c>
      <c r="M1616" t="s">
        <v>1419</v>
      </c>
    </row>
    <row r="1617" spans="12:13">
      <c r="L1617" s="66">
        <v>422211</v>
      </c>
      <c r="M1617" t="s">
        <v>1419</v>
      </c>
    </row>
    <row r="1618" spans="12:13">
      <c r="L1618" s="66">
        <v>422220</v>
      </c>
      <c r="M1618" t="s">
        <v>1420</v>
      </c>
    </row>
    <row r="1619" spans="12:13">
      <c r="L1619" s="66">
        <v>422221</v>
      </c>
      <c r="M1619" t="s">
        <v>1420</v>
      </c>
    </row>
    <row r="1620" spans="12:13">
      <c r="L1620" s="66">
        <v>422230</v>
      </c>
      <c r="M1620" t="s">
        <v>1421</v>
      </c>
    </row>
    <row r="1621" spans="12:13">
      <c r="L1621" s="66">
        <v>422231</v>
      </c>
      <c r="M1621" t="s">
        <v>1421</v>
      </c>
    </row>
    <row r="1622" spans="12:13">
      <c r="L1622" s="66">
        <v>422290</v>
      </c>
      <c r="M1622" t="s">
        <v>1412</v>
      </c>
    </row>
    <row r="1623" spans="12:13">
      <c r="L1623" s="66">
        <v>422291</v>
      </c>
      <c r="M1623" t="s">
        <v>1422</v>
      </c>
    </row>
    <row r="1624" spans="12:13">
      <c r="L1624" s="66">
        <v>422292</v>
      </c>
      <c r="M1624" t="s">
        <v>1414</v>
      </c>
    </row>
    <row r="1625" spans="12:13">
      <c r="L1625" s="66">
        <v>422293</v>
      </c>
      <c r="M1625" t="s">
        <v>1416</v>
      </c>
    </row>
    <row r="1626" spans="12:13">
      <c r="L1626" s="66">
        <v>422299</v>
      </c>
      <c r="M1626" t="s">
        <v>1423</v>
      </c>
    </row>
    <row r="1627" spans="12:13">
      <c r="L1627" s="66">
        <v>422300</v>
      </c>
      <c r="M1627" t="s">
        <v>1424</v>
      </c>
    </row>
    <row r="1628" spans="12:13">
      <c r="L1628" s="66">
        <v>422310</v>
      </c>
      <c r="M1628" t="s">
        <v>1425</v>
      </c>
    </row>
    <row r="1629" spans="12:13">
      <c r="L1629" s="66">
        <v>422311</v>
      </c>
      <c r="M1629" t="s">
        <v>1425</v>
      </c>
    </row>
    <row r="1630" spans="12:13">
      <c r="L1630" s="66">
        <v>422320</v>
      </c>
      <c r="M1630" t="s">
        <v>1426</v>
      </c>
    </row>
    <row r="1631" spans="12:13">
      <c r="L1631" s="66">
        <v>422321</v>
      </c>
      <c r="M1631" t="s">
        <v>1426</v>
      </c>
    </row>
    <row r="1632" spans="12:13">
      <c r="L1632" s="66">
        <v>422330</v>
      </c>
      <c r="M1632" t="s">
        <v>1427</v>
      </c>
    </row>
    <row r="1633" spans="12:13">
      <c r="L1633" s="66">
        <v>422331</v>
      </c>
      <c r="M1633" t="s">
        <v>1427</v>
      </c>
    </row>
    <row r="1634" spans="12:13">
      <c r="L1634" s="66">
        <v>422390</v>
      </c>
      <c r="M1634" t="s">
        <v>1428</v>
      </c>
    </row>
    <row r="1635" spans="12:13">
      <c r="L1635" s="66">
        <v>422391</v>
      </c>
      <c r="M1635" t="s">
        <v>1429</v>
      </c>
    </row>
    <row r="1636" spans="12:13">
      <c r="L1636" s="66">
        <v>422392</v>
      </c>
      <c r="M1636" t="s">
        <v>1414</v>
      </c>
    </row>
    <row r="1637" spans="12:13">
      <c r="L1637" s="66">
        <v>422393</v>
      </c>
      <c r="M1637" t="s">
        <v>1430</v>
      </c>
    </row>
    <row r="1638" spans="12:13">
      <c r="L1638" s="66">
        <v>422394</v>
      </c>
      <c r="M1638" t="s">
        <v>1431</v>
      </c>
    </row>
    <row r="1639" spans="12:13">
      <c r="L1639" s="66">
        <v>422399</v>
      </c>
      <c r="M1639" t="s">
        <v>1432</v>
      </c>
    </row>
    <row r="1640" spans="12:13">
      <c r="L1640" s="66">
        <v>422400</v>
      </c>
      <c r="M1640" t="s">
        <v>1433</v>
      </c>
    </row>
    <row r="1641" spans="12:13">
      <c r="L1641" s="66">
        <v>422410</v>
      </c>
      <c r="M1641" t="s">
        <v>1433</v>
      </c>
    </row>
    <row r="1642" spans="12:13">
      <c r="L1642" s="66">
        <v>422411</v>
      </c>
      <c r="M1642" t="s">
        <v>1434</v>
      </c>
    </row>
    <row r="1643" spans="12:13">
      <c r="L1643" s="66">
        <v>422412</v>
      </c>
      <c r="M1643" t="s">
        <v>1435</v>
      </c>
    </row>
    <row r="1644" spans="12:13">
      <c r="L1644" s="66">
        <v>422900</v>
      </c>
      <c r="M1644" t="s">
        <v>1436</v>
      </c>
    </row>
    <row r="1645" spans="12:13">
      <c r="L1645" s="66">
        <v>422910</v>
      </c>
      <c r="M1645" t="s">
        <v>1436</v>
      </c>
    </row>
    <row r="1646" spans="12:13">
      <c r="L1646" s="66">
        <v>422911</v>
      </c>
      <c r="M1646" t="s">
        <v>1437</v>
      </c>
    </row>
    <row r="1647" spans="12:13">
      <c r="L1647" s="66">
        <v>423000</v>
      </c>
      <c r="M1647" t="s">
        <v>1438</v>
      </c>
    </row>
    <row r="1648" spans="12:13">
      <c r="L1648" s="66">
        <v>423100</v>
      </c>
      <c r="M1648" t="s">
        <v>1439</v>
      </c>
    </row>
    <row r="1649" spans="12:13">
      <c r="L1649" s="66">
        <v>423110</v>
      </c>
      <c r="M1649" t="s">
        <v>1440</v>
      </c>
    </row>
    <row r="1650" spans="12:13">
      <c r="L1650" s="66">
        <v>423111</v>
      </c>
      <c r="M1650" t="s">
        <v>1440</v>
      </c>
    </row>
    <row r="1651" spans="12:13">
      <c r="L1651" s="66">
        <v>423120</v>
      </c>
      <c r="M1651" t="s">
        <v>1441</v>
      </c>
    </row>
    <row r="1652" spans="12:13">
      <c r="L1652" s="66">
        <v>423121</v>
      </c>
      <c r="M1652" t="s">
        <v>1441</v>
      </c>
    </row>
    <row r="1653" spans="12:13">
      <c r="L1653" s="66">
        <v>423130</v>
      </c>
      <c r="M1653" t="s">
        <v>1442</v>
      </c>
    </row>
    <row r="1654" spans="12:13">
      <c r="L1654" s="66">
        <v>423131</v>
      </c>
      <c r="M1654" t="s">
        <v>1442</v>
      </c>
    </row>
    <row r="1655" spans="12:13">
      <c r="L1655" s="66">
        <v>423190</v>
      </c>
      <c r="M1655" t="s">
        <v>1443</v>
      </c>
    </row>
    <row r="1656" spans="12:13">
      <c r="L1656" s="66">
        <v>423191</v>
      </c>
      <c r="M1656" t="s">
        <v>1443</v>
      </c>
    </row>
    <row r="1657" spans="12:13">
      <c r="L1657" s="66">
        <v>423200</v>
      </c>
      <c r="M1657" t="s">
        <v>1444</v>
      </c>
    </row>
    <row r="1658" spans="12:13">
      <c r="L1658" s="66">
        <v>423210</v>
      </c>
      <c r="M1658" t="s">
        <v>1445</v>
      </c>
    </row>
    <row r="1659" spans="12:13">
      <c r="L1659" s="66">
        <v>423211</v>
      </c>
      <c r="M1659" t="s">
        <v>1446</v>
      </c>
    </row>
    <row r="1660" spans="12:13">
      <c r="L1660" s="66">
        <v>423212</v>
      </c>
      <c r="M1660" t="s">
        <v>1447</v>
      </c>
    </row>
    <row r="1661" spans="12:13">
      <c r="L1661" s="66">
        <v>423220</v>
      </c>
      <c r="M1661" t="s">
        <v>1448</v>
      </c>
    </row>
    <row r="1662" spans="12:13">
      <c r="L1662" s="66">
        <v>423221</v>
      </c>
      <c r="M1662" t="s">
        <v>1448</v>
      </c>
    </row>
    <row r="1663" spans="12:13">
      <c r="L1663" s="66">
        <v>423290</v>
      </c>
      <c r="M1663" t="s">
        <v>1449</v>
      </c>
    </row>
    <row r="1664" spans="12:13">
      <c r="L1664" s="66">
        <v>423291</v>
      </c>
      <c r="M1664" t="s">
        <v>1449</v>
      </c>
    </row>
    <row r="1665" spans="12:13">
      <c r="L1665" s="66">
        <v>423300</v>
      </c>
      <c r="M1665" t="s">
        <v>1450</v>
      </c>
    </row>
    <row r="1666" spans="12:13">
      <c r="L1666" s="66">
        <v>423310</v>
      </c>
      <c r="M1666" t="s">
        <v>1450</v>
      </c>
    </row>
    <row r="1667" spans="12:13">
      <c r="L1667" s="66">
        <v>423311</v>
      </c>
      <c r="M1667" t="s">
        <v>1450</v>
      </c>
    </row>
    <row r="1668" spans="12:13">
      <c r="L1668" s="66">
        <v>423320</v>
      </c>
      <c r="M1668" t="s">
        <v>1451</v>
      </c>
    </row>
    <row r="1669" spans="12:13">
      <c r="L1669" s="66">
        <v>423321</v>
      </c>
      <c r="M1669" t="s">
        <v>1452</v>
      </c>
    </row>
    <row r="1670" spans="12:13">
      <c r="L1670" s="66">
        <v>423322</v>
      </c>
      <c r="M1670" t="s">
        <v>1453</v>
      </c>
    </row>
    <row r="1671" spans="12:13">
      <c r="L1671" s="66">
        <v>423323</v>
      </c>
      <c r="M1671" t="s">
        <v>1454</v>
      </c>
    </row>
    <row r="1672" spans="12:13">
      <c r="L1672" s="66">
        <v>423390</v>
      </c>
      <c r="M1672" t="s">
        <v>1455</v>
      </c>
    </row>
    <row r="1673" spans="12:13">
      <c r="L1673" s="66">
        <v>423391</v>
      </c>
      <c r="M1673" t="s">
        <v>1456</v>
      </c>
    </row>
    <row r="1674" spans="12:13">
      <c r="L1674" s="66">
        <v>423399</v>
      </c>
      <c r="M1674" t="s">
        <v>1457</v>
      </c>
    </row>
    <row r="1675" spans="12:13">
      <c r="L1675" s="66">
        <v>423400</v>
      </c>
      <c r="M1675" t="s">
        <v>1458</v>
      </c>
    </row>
    <row r="1676" spans="12:13">
      <c r="L1676" s="66">
        <v>423410</v>
      </c>
      <c r="M1676" t="s">
        <v>1459</v>
      </c>
    </row>
    <row r="1677" spans="12:13">
      <c r="L1677" s="66">
        <v>423411</v>
      </c>
      <c r="M1677" t="s">
        <v>1460</v>
      </c>
    </row>
    <row r="1678" spans="12:13">
      <c r="L1678" s="66">
        <v>423412</v>
      </c>
      <c r="M1678" t="s">
        <v>1461</v>
      </c>
    </row>
    <row r="1679" spans="12:13">
      <c r="L1679" s="66">
        <v>423413</v>
      </c>
      <c r="M1679" t="s">
        <v>1462</v>
      </c>
    </row>
    <row r="1680" spans="12:13">
      <c r="L1680" s="66">
        <v>423419</v>
      </c>
      <c r="M1680" t="s">
        <v>1463</v>
      </c>
    </row>
    <row r="1681" spans="12:13">
      <c r="L1681" s="66">
        <v>423420</v>
      </c>
      <c r="M1681" t="s">
        <v>1464</v>
      </c>
    </row>
    <row r="1682" spans="12:13">
      <c r="L1682" s="66">
        <v>423421</v>
      </c>
      <c r="M1682" t="s">
        <v>1465</v>
      </c>
    </row>
    <row r="1683" spans="12:13">
      <c r="L1683" s="66">
        <v>423422</v>
      </c>
      <c r="M1683" t="s">
        <v>1466</v>
      </c>
    </row>
    <row r="1684" spans="12:13">
      <c r="L1684" s="66">
        <v>423430</v>
      </c>
      <c r="M1684" t="s">
        <v>1467</v>
      </c>
    </row>
    <row r="1685" spans="12:13">
      <c r="L1685" s="66">
        <v>423431</v>
      </c>
      <c r="M1685" t="s">
        <v>1467</v>
      </c>
    </row>
    <row r="1686" spans="12:13">
      <c r="L1686" s="66">
        <v>423432</v>
      </c>
      <c r="M1686" t="s">
        <v>1468</v>
      </c>
    </row>
    <row r="1687" spans="12:13">
      <c r="L1687" s="66">
        <v>423439</v>
      </c>
      <c r="M1687" t="s">
        <v>1469</v>
      </c>
    </row>
    <row r="1688" spans="12:13">
      <c r="L1688" s="66">
        <v>423440</v>
      </c>
      <c r="M1688" t="s">
        <v>1470</v>
      </c>
    </row>
    <row r="1689" spans="12:13">
      <c r="L1689" s="66">
        <v>423441</v>
      </c>
      <c r="M1689" t="s">
        <v>1471</v>
      </c>
    </row>
    <row r="1690" spans="12:13">
      <c r="L1690" s="66">
        <v>423449</v>
      </c>
      <c r="M1690" t="s">
        <v>1472</v>
      </c>
    </row>
    <row r="1691" spans="12:13">
      <c r="L1691" s="66">
        <v>423500</v>
      </c>
      <c r="M1691" t="s">
        <v>1473</v>
      </c>
    </row>
    <row r="1692" spans="12:13">
      <c r="L1692" s="66">
        <v>423510</v>
      </c>
      <c r="M1692" t="s">
        <v>1474</v>
      </c>
    </row>
    <row r="1693" spans="12:13">
      <c r="L1693" s="66">
        <v>423511</v>
      </c>
      <c r="M1693" t="s">
        <v>1474</v>
      </c>
    </row>
    <row r="1694" spans="12:13">
      <c r="L1694" s="66">
        <v>423520</v>
      </c>
      <c r="M1694" t="s">
        <v>1475</v>
      </c>
    </row>
    <row r="1695" spans="12:13">
      <c r="L1695" s="66">
        <v>423521</v>
      </c>
      <c r="M1695" t="s">
        <v>1476</v>
      </c>
    </row>
    <row r="1696" spans="12:13">
      <c r="L1696" s="66">
        <v>423522</v>
      </c>
      <c r="M1696" t="s">
        <v>1477</v>
      </c>
    </row>
    <row r="1697" spans="12:13">
      <c r="L1697" s="66">
        <v>423530</v>
      </c>
      <c r="M1697" t="s">
        <v>1478</v>
      </c>
    </row>
    <row r="1698" spans="12:13">
      <c r="L1698" s="66">
        <v>423531</v>
      </c>
      <c r="M1698" t="s">
        <v>1479</v>
      </c>
    </row>
    <row r="1699" spans="12:13">
      <c r="L1699" s="66">
        <v>423532</v>
      </c>
      <c r="M1699" t="s">
        <v>1480</v>
      </c>
    </row>
    <row r="1700" spans="12:13">
      <c r="L1700" s="66">
        <v>423539</v>
      </c>
      <c r="M1700" t="s">
        <v>1481</v>
      </c>
    </row>
    <row r="1701" spans="12:13">
      <c r="L1701" s="66">
        <v>423540</v>
      </c>
      <c r="M1701" t="s">
        <v>1482</v>
      </c>
    </row>
    <row r="1702" spans="12:13">
      <c r="L1702" s="66">
        <v>423541</v>
      </c>
      <c r="M1702" t="s">
        <v>1483</v>
      </c>
    </row>
    <row r="1703" spans="12:13">
      <c r="L1703" s="66">
        <v>423542</v>
      </c>
      <c r="M1703" t="s">
        <v>1484</v>
      </c>
    </row>
    <row r="1704" spans="12:13">
      <c r="L1704" s="66">
        <v>423590</v>
      </c>
      <c r="M1704" t="s">
        <v>1485</v>
      </c>
    </row>
    <row r="1705" spans="12:13">
      <c r="L1705" s="66">
        <v>423591</v>
      </c>
      <c r="M1705" t="s">
        <v>1339</v>
      </c>
    </row>
    <row r="1706" spans="12:13">
      <c r="L1706" s="66">
        <v>423599</v>
      </c>
      <c r="M1706" t="s">
        <v>1485</v>
      </c>
    </row>
    <row r="1707" spans="12:13">
      <c r="L1707" s="66">
        <v>423600</v>
      </c>
      <c r="M1707" t="s">
        <v>1486</v>
      </c>
    </row>
    <row r="1708" spans="12:13">
      <c r="L1708" s="66">
        <v>423610</v>
      </c>
      <c r="M1708" t="s">
        <v>1487</v>
      </c>
    </row>
    <row r="1709" spans="12:13">
      <c r="L1709" s="66">
        <v>423611</v>
      </c>
      <c r="M1709" t="s">
        <v>1488</v>
      </c>
    </row>
    <row r="1710" spans="12:13">
      <c r="L1710" s="66">
        <v>423612</v>
      </c>
      <c r="M1710" t="s">
        <v>1489</v>
      </c>
    </row>
    <row r="1711" spans="12:13">
      <c r="L1711" s="66">
        <v>423620</v>
      </c>
      <c r="M1711" t="s">
        <v>1490</v>
      </c>
    </row>
    <row r="1712" spans="12:13">
      <c r="L1712" s="66">
        <v>423621</v>
      </c>
      <c r="M1712" t="s">
        <v>1490</v>
      </c>
    </row>
    <row r="1713" spans="12:13">
      <c r="L1713" s="66">
        <v>423700</v>
      </c>
      <c r="M1713" t="s">
        <v>1491</v>
      </c>
    </row>
    <row r="1714" spans="12:13">
      <c r="L1714" s="66">
        <v>423710</v>
      </c>
      <c r="M1714" t="s">
        <v>1491</v>
      </c>
    </row>
    <row r="1715" spans="12:13">
      <c r="L1715" s="66">
        <v>423711</v>
      </c>
      <c r="M1715" t="s">
        <v>1491</v>
      </c>
    </row>
    <row r="1716" spans="12:13">
      <c r="L1716" s="66">
        <v>423712</v>
      </c>
      <c r="M1716" t="s">
        <v>1492</v>
      </c>
    </row>
    <row r="1717" spans="12:13">
      <c r="L1717" s="66">
        <v>423900</v>
      </c>
      <c r="M1717" t="s">
        <v>1493</v>
      </c>
    </row>
    <row r="1718" spans="12:13">
      <c r="L1718" s="66">
        <v>423910</v>
      </c>
      <c r="M1718" t="s">
        <v>1493</v>
      </c>
    </row>
    <row r="1719" spans="12:13">
      <c r="L1719" s="66">
        <v>423911</v>
      </c>
      <c r="M1719" t="s">
        <v>1493</v>
      </c>
    </row>
    <row r="1720" spans="12:13">
      <c r="L1720" s="66">
        <v>424000</v>
      </c>
      <c r="M1720" t="s">
        <v>1494</v>
      </c>
    </row>
    <row r="1721" spans="12:13">
      <c r="L1721" s="66">
        <v>424100</v>
      </c>
      <c r="M1721" t="s">
        <v>1495</v>
      </c>
    </row>
    <row r="1722" spans="12:13">
      <c r="L1722" s="66">
        <v>424110</v>
      </c>
      <c r="M1722" t="s">
        <v>1496</v>
      </c>
    </row>
    <row r="1723" spans="12:13">
      <c r="L1723" s="66">
        <v>424111</v>
      </c>
      <c r="M1723" t="s">
        <v>1497</v>
      </c>
    </row>
    <row r="1724" spans="12:13">
      <c r="L1724" s="66">
        <v>424112</v>
      </c>
      <c r="M1724" t="s">
        <v>1498</v>
      </c>
    </row>
    <row r="1725" spans="12:13">
      <c r="L1725" s="66">
        <v>424113</v>
      </c>
      <c r="M1725" t="s">
        <v>1499</v>
      </c>
    </row>
    <row r="1726" spans="12:13">
      <c r="L1726" s="66">
        <v>424119</v>
      </c>
      <c r="M1726" t="s">
        <v>1500</v>
      </c>
    </row>
    <row r="1727" spans="12:13">
      <c r="L1727" s="66">
        <v>424200</v>
      </c>
      <c r="M1727" t="s">
        <v>1501</v>
      </c>
    </row>
    <row r="1728" spans="12:13">
      <c r="L1728" s="66">
        <v>424210</v>
      </c>
      <c r="M1728" t="s">
        <v>1502</v>
      </c>
    </row>
    <row r="1729" spans="12:13">
      <c r="L1729" s="66">
        <v>424211</v>
      </c>
      <c r="M1729" t="s">
        <v>1502</v>
      </c>
    </row>
    <row r="1730" spans="12:13">
      <c r="L1730" s="66">
        <v>424212</v>
      </c>
      <c r="M1730" t="s">
        <v>1503</v>
      </c>
    </row>
    <row r="1731" spans="12:13">
      <c r="L1731" s="66">
        <v>424213</v>
      </c>
      <c r="M1731" t="s">
        <v>1504</v>
      </c>
    </row>
    <row r="1732" spans="12:13">
      <c r="L1732" s="66">
        <v>424220</v>
      </c>
      <c r="M1732" t="s">
        <v>1505</v>
      </c>
    </row>
    <row r="1733" spans="12:13">
      <c r="L1733" s="66">
        <v>424221</v>
      </c>
      <c r="M1733" t="s">
        <v>1505</v>
      </c>
    </row>
    <row r="1734" spans="12:13">
      <c r="L1734" s="66">
        <v>424230</v>
      </c>
      <c r="M1734" t="s">
        <v>1506</v>
      </c>
    </row>
    <row r="1735" spans="12:13">
      <c r="L1735" s="66">
        <v>424231</v>
      </c>
      <c r="M1735" t="s">
        <v>1506</v>
      </c>
    </row>
    <row r="1736" spans="12:13">
      <c r="L1736" s="66">
        <v>424300</v>
      </c>
      <c r="M1736" t="s">
        <v>1507</v>
      </c>
    </row>
    <row r="1737" spans="12:13">
      <c r="L1737" s="66">
        <v>424310</v>
      </c>
      <c r="M1737" t="s">
        <v>1508</v>
      </c>
    </row>
    <row r="1738" spans="12:13">
      <c r="L1738" s="66">
        <v>424311</v>
      </c>
      <c r="M1738" t="s">
        <v>1508</v>
      </c>
    </row>
    <row r="1739" spans="12:13">
      <c r="L1739" s="66">
        <v>424320</v>
      </c>
      <c r="M1739" t="s">
        <v>1509</v>
      </c>
    </row>
    <row r="1740" spans="12:13">
      <c r="L1740" s="66">
        <v>424321</v>
      </c>
      <c r="M1740" t="s">
        <v>1509</v>
      </c>
    </row>
    <row r="1741" spans="12:13">
      <c r="L1741" s="66">
        <v>424330</v>
      </c>
      <c r="M1741" t="s">
        <v>1510</v>
      </c>
    </row>
    <row r="1742" spans="12:13">
      <c r="L1742" s="66">
        <v>424331</v>
      </c>
      <c r="M1742" t="s">
        <v>1510</v>
      </c>
    </row>
    <row r="1743" spans="12:13">
      <c r="L1743" s="66">
        <v>424340</v>
      </c>
      <c r="M1743" t="s">
        <v>1511</v>
      </c>
    </row>
    <row r="1744" spans="12:13">
      <c r="L1744" s="66">
        <v>424341</v>
      </c>
      <c r="M1744" t="s">
        <v>1511</v>
      </c>
    </row>
    <row r="1745" spans="12:13">
      <c r="L1745" s="66">
        <v>424350</v>
      </c>
      <c r="M1745" t="s">
        <v>1512</v>
      </c>
    </row>
    <row r="1746" spans="12:13">
      <c r="L1746" s="66">
        <v>424351</v>
      </c>
      <c r="M1746" t="s">
        <v>1512</v>
      </c>
    </row>
    <row r="1747" spans="12:13">
      <c r="L1747" s="66">
        <v>424400</v>
      </c>
      <c r="M1747" t="s">
        <v>1513</v>
      </c>
    </row>
    <row r="1748" spans="12:13">
      <c r="L1748" s="66">
        <v>424410</v>
      </c>
      <c r="M1748" t="s">
        <v>1513</v>
      </c>
    </row>
    <row r="1749" spans="12:13">
      <c r="L1749" s="66">
        <v>424411</v>
      </c>
      <c r="M1749" t="s">
        <v>1513</v>
      </c>
    </row>
    <row r="1750" spans="12:13">
      <c r="L1750" s="66">
        <v>424500</v>
      </c>
      <c r="M1750" t="s">
        <v>1514</v>
      </c>
    </row>
    <row r="1751" spans="12:13">
      <c r="L1751" s="66">
        <v>424510</v>
      </c>
      <c r="M1751" t="s">
        <v>1514</v>
      </c>
    </row>
    <row r="1752" spans="12:13">
      <c r="L1752" s="66">
        <v>424511</v>
      </c>
      <c r="M1752" t="s">
        <v>1514</v>
      </c>
    </row>
    <row r="1753" spans="12:13">
      <c r="L1753" s="66">
        <v>424600</v>
      </c>
      <c r="M1753" t="s">
        <v>1515</v>
      </c>
    </row>
    <row r="1754" spans="12:13">
      <c r="L1754" s="66">
        <v>424610</v>
      </c>
      <c r="M1754" t="s">
        <v>1516</v>
      </c>
    </row>
    <row r="1755" spans="12:13">
      <c r="L1755" s="66">
        <v>424611</v>
      </c>
      <c r="M1755" t="s">
        <v>1516</v>
      </c>
    </row>
    <row r="1756" spans="12:13">
      <c r="L1756" s="66">
        <v>424620</v>
      </c>
      <c r="M1756" t="s">
        <v>1517</v>
      </c>
    </row>
    <row r="1757" spans="12:13">
      <c r="L1757" s="66">
        <v>424621</v>
      </c>
      <c r="M1757" t="s">
        <v>1517</v>
      </c>
    </row>
    <row r="1758" spans="12:13">
      <c r="L1758" s="66">
        <v>424630</v>
      </c>
      <c r="M1758" t="s">
        <v>1518</v>
      </c>
    </row>
    <row r="1759" spans="12:13">
      <c r="L1759" s="66">
        <v>424631</v>
      </c>
      <c r="M1759" t="s">
        <v>1518</v>
      </c>
    </row>
    <row r="1760" spans="12:13">
      <c r="L1760" s="66">
        <v>424900</v>
      </c>
      <c r="M1760" t="s">
        <v>1519</v>
      </c>
    </row>
    <row r="1761" spans="12:13">
      <c r="L1761" s="66">
        <v>424910</v>
      </c>
      <c r="M1761" t="s">
        <v>1519</v>
      </c>
    </row>
    <row r="1762" spans="12:13">
      <c r="L1762" s="66">
        <v>424911</v>
      </c>
      <c r="M1762" t="s">
        <v>1519</v>
      </c>
    </row>
    <row r="1763" spans="12:13">
      <c r="L1763" s="66">
        <v>425000</v>
      </c>
      <c r="M1763" t="s">
        <v>1520</v>
      </c>
    </row>
    <row r="1764" spans="12:13">
      <c r="L1764" s="66">
        <v>425100</v>
      </c>
      <c r="M1764" t="s">
        <v>1521</v>
      </c>
    </row>
    <row r="1765" spans="12:13">
      <c r="L1765" s="66">
        <v>425110</v>
      </c>
      <c r="M1765" t="s">
        <v>1522</v>
      </c>
    </row>
    <row r="1766" spans="12:13">
      <c r="L1766" s="66">
        <v>425111</v>
      </c>
      <c r="M1766" t="s">
        <v>1523</v>
      </c>
    </row>
    <row r="1767" spans="12:13">
      <c r="L1767" s="66">
        <v>425112</v>
      </c>
      <c r="M1767" t="s">
        <v>1524</v>
      </c>
    </row>
    <row r="1768" spans="12:13">
      <c r="L1768" s="66">
        <v>425113</v>
      </c>
      <c r="M1768" t="s">
        <v>1525</v>
      </c>
    </row>
    <row r="1769" spans="12:13">
      <c r="L1769" s="66">
        <v>425114</v>
      </c>
      <c r="M1769" t="s">
        <v>1526</v>
      </c>
    </row>
    <row r="1770" spans="12:13">
      <c r="L1770" s="66">
        <v>425115</v>
      </c>
      <c r="M1770" t="s">
        <v>1527</v>
      </c>
    </row>
    <row r="1771" spans="12:13">
      <c r="L1771" s="66">
        <v>425116</v>
      </c>
      <c r="M1771" t="s">
        <v>1356</v>
      </c>
    </row>
    <row r="1772" spans="12:13">
      <c r="L1772" s="66">
        <v>425117</v>
      </c>
      <c r="M1772" t="s">
        <v>1528</v>
      </c>
    </row>
    <row r="1773" spans="12:13">
      <c r="L1773" s="66">
        <v>425118</v>
      </c>
      <c r="M1773" t="s">
        <v>1529</v>
      </c>
    </row>
    <row r="1774" spans="12:13">
      <c r="L1774" s="66">
        <v>425119</v>
      </c>
      <c r="M1774" t="s">
        <v>1530</v>
      </c>
    </row>
    <row r="1775" spans="12:13">
      <c r="L1775" s="66">
        <v>425190</v>
      </c>
      <c r="M1775" t="s">
        <v>1531</v>
      </c>
    </row>
    <row r="1776" spans="12:13">
      <c r="L1776" s="66">
        <v>425191</v>
      </c>
      <c r="M1776" t="s">
        <v>1531</v>
      </c>
    </row>
    <row r="1777" spans="12:13">
      <c r="L1777" s="66">
        <v>425200</v>
      </c>
      <c r="M1777" t="s">
        <v>1532</v>
      </c>
    </row>
    <row r="1778" spans="12:13">
      <c r="L1778" s="66">
        <v>425210</v>
      </c>
      <c r="M1778" t="s">
        <v>1533</v>
      </c>
    </row>
    <row r="1779" spans="12:13">
      <c r="L1779" s="66">
        <v>425211</v>
      </c>
      <c r="M1779" t="s">
        <v>1534</v>
      </c>
    </row>
    <row r="1780" spans="12:13">
      <c r="L1780" s="66">
        <v>425212</v>
      </c>
      <c r="M1780" t="s">
        <v>1535</v>
      </c>
    </row>
    <row r="1781" spans="12:13">
      <c r="L1781" s="66">
        <v>425213</v>
      </c>
      <c r="M1781" t="s">
        <v>1536</v>
      </c>
    </row>
    <row r="1782" spans="12:13">
      <c r="L1782" s="66">
        <v>425219</v>
      </c>
      <c r="M1782" t="s">
        <v>1537</v>
      </c>
    </row>
    <row r="1783" spans="12:13">
      <c r="L1783" s="66">
        <v>425220</v>
      </c>
      <c r="M1783" t="s">
        <v>1538</v>
      </c>
    </row>
    <row r="1784" spans="12:13">
      <c r="L1784" s="66">
        <v>425221</v>
      </c>
      <c r="M1784" t="s">
        <v>1539</v>
      </c>
    </row>
    <row r="1785" spans="12:13">
      <c r="L1785" s="66">
        <v>425222</v>
      </c>
      <c r="M1785" t="s">
        <v>339</v>
      </c>
    </row>
    <row r="1786" spans="12:13">
      <c r="L1786" s="66">
        <v>425223</v>
      </c>
      <c r="M1786" t="s">
        <v>1540</v>
      </c>
    </row>
    <row r="1787" spans="12:13">
      <c r="L1787" s="66">
        <v>425224</v>
      </c>
      <c r="M1787" t="s">
        <v>341</v>
      </c>
    </row>
    <row r="1788" spans="12:13">
      <c r="L1788" s="66">
        <v>425225</v>
      </c>
      <c r="M1788" t="s">
        <v>342</v>
      </c>
    </row>
    <row r="1789" spans="12:13">
      <c r="L1789" s="66">
        <v>425226</v>
      </c>
      <c r="M1789" t="s">
        <v>1541</v>
      </c>
    </row>
    <row r="1790" spans="12:13">
      <c r="L1790" s="66">
        <v>425227</v>
      </c>
      <c r="M1790" t="s">
        <v>1542</v>
      </c>
    </row>
    <row r="1791" spans="12:13">
      <c r="L1791" s="66">
        <v>425229</v>
      </c>
      <c r="M1791" t="s">
        <v>1543</v>
      </c>
    </row>
    <row r="1792" spans="12:13">
      <c r="L1792" s="66">
        <v>425230</v>
      </c>
      <c r="M1792" t="s">
        <v>1544</v>
      </c>
    </row>
    <row r="1793" spans="12:13">
      <c r="L1793" s="66">
        <v>425231</v>
      </c>
      <c r="M1793" t="s">
        <v>1544</v>
      </c>
    </row>
    <row r="1794" spans="12:13">
      <c r="L1794" s="66">
        <v>425240</v>
      </c>
      <c r="M1794" t="s">
        <v>1545</v>
      </c>
    </row>
    <row r="1795" spans="12:13">
      <c r="L1795" s="66">
        <v>425241</v>
      </c>
      <c r="M1795" t="s">
        <v>1546</v>
      </c>
    </row>
    <row r="1796" spans="12:13">
      <c r="L1796" s="66">
        <v>425242</v>
      </c>
      <c r="M1796" t="s">
        <v>1547</v>
      </c>
    </row>
    <row r="1797" spans="12:13">
      <c r="L1797" s="66">
        <v>425250</v>
      </c>
      <c r="M1797" t="s">
        <v>1548</v>
      </c>
    </row>
    <row r="1798" spans="12:13">
      <c r="L1798" s="66">
        <v>425251</v>
      </c>
      <c r="M1798" t="s">
        <v>1549</v>
      </c>
    </row>
    <row r="1799" spans="12:13">
      <c r="L1799" s="66">
        <v>425252</v>
      </c>
      <c r="M1799" t="s">
        <v>1550</v>
      </c>
    </row>
    <row r="1800" spans="12:13">
      <c r="L1800" s="66">
        <v>425253</v>
      </c>
      <c r="M1800" t="s">
        <v>1551</v>
      </c>
    </row>
    <row r="1801" spans="12:13">
      <c r="L1801" s="66">
        <v>425260</v>
      </c>
      <c r="M1801" t="s">
        <v>1552</v>
      </c>
    </row>
    <row r="1802" spans="12:13">
      <c r="L1802" s="66">
        <v>425261</v>
      </c>
      <c r="M1802" t="s">
        <v>1553</v>
      </c>
    </row>
    <row r="1803" spans="12:13">
      <c r="L1803" s="66">
        <v>425262</v>
      </c>
      <c r="M1803" t="s">
        <v>1554</v>
      </c>
    </row>
    <row r="1804" spans="12:13">
      <c r="L1804" s="66">
        <v>425263</v>
      </c>
      <c r="M1804" t="s">
        <v>1555</v>
      </c>
    </row>
    <row r="1805" spans="12:13">
      <c r="L1805" s="66">
        <v>425270</v>
      </c>
      <c r="M1805" t="s">
        <v>1556</v>
      </c>
    </row>
    <row r="1806" spans="12:13">
      <c r="L1806" s="66">
        <v>425271</v>
      </c>
      <c r="M1806" t="s">
        <v>1556</v>
      </c>
    </row>
    <row r="1807" spans="12:13">
      <c r="L1807" s="66">
        <v>425280</v>
      </c>
      <c r="M1807" t="s">
        <v>1557</v>
      </c>
    </row>
    <row r="1808" spans="12:13">
      <c r="L1808" s="66">
        <v>425281</v>
      </c>
      <c r="M1808" t="s">
        <v>1557</v>
      </c>
    </row>
    <row r="1809" spans="12:13">
      <c r="L1809" s="66">
        <v>425290</v>
      </c>
      <c r="M1809" t="s">
        <v>1558</v>
      </c>
    </row>
    <row r="1810" spans="12:13">
      <c r="L1810" s="66">
        <v>425291</v>
      </c>
      <c r="M1810" t="s">
        <v>1558</v>
      </c>
    </row>
    <row r="1811" spans="12:13">
      <c r="L1811" s="66">
        <v>426000</v>
      </c>
      <c r="M1811" t="s">
        <v>1559</v>
      </c>
    </row>
    <row r="1812" spans="12:13">
      <c r="L1812" s="66">
        <v>426100</v>
      </c>
      <c r="M1812" t="s">
        <v>1560</v>
      </c>
    </row>
    <row r="1813" spans="12:13">
      <c r="L1813" s="66">
        <v>426110</v>
      </c>
      <c r="M1813" t="s">
        <v>1561</v>
      </c>
    </row>
    <row r="1814" spans="12:13">
      <c r="L1814" s="66">
        <v>426111</v>
      </c>
      <c r="M1814" t="s">
        <v>1561</v>
      </c>
    </row>
    <row r="1815" spans="12:13">
      <c r="L1815" s="66">
        <v>426120</v>
      </c>
      <c r="M1815" t="s">
        <v>1562</v>
      </c>
    </row>
    <row r="1816" spans="12:13">
      <c r="L1816" s="66">
        <v>426121</v>
      </c>
      <c r="M1816" t="s">
        <v>1563</v>
      </c>
    </row>
    <row r="1817" spans="12:13">
      <c r="L1817" s="66">
        <v>426122</v>
      </c>
      <c r="M1817" t="s">
        <v>1564</v>
      </c>
    </row>
    <row r="1818" spans="12:13">
      <c r="L1818" s="66">
        <v>426123</v>
      </c>
      <c r="M1818" t="s">
        <v>1565</v>
      </c>
    </row>
    <row r="1819" spans="12:13">
      <c r="L1819" s="66">
        <v>426124</v>
      </c>
      <c r="M1819" t="s">
        <v>1566</v>
      </c>
    </row>
    <row r="1820" spans="12:13">
      <c r="L1820" s="66">
        <v>426129</v>
      </c>
      <c r="M1820" t="s">
        <v>1567</v>
      </c>
    </row>
    <row r="1821" spans="12:13">
      <c r="L1821" s="66">
        <v>426130</v>
      </c>
      <c r="M1821" t="s">
        <v>1568</v>
      </c>
    </row>
    <row r="1822" spans="12:13">
      <c r="L1822" s="66">
        <v>426131</v>
      </c>
      <c r="M1822" t="s">
        <v>1569</v>
      </c>
    </row>
    <row r="1823" spans="12:13">
      <c r="L1823" s="66">
        <v>426190</v>
      </c>
      <c r="M1823" t="s">
        <v>1570</v>
      </c>
    </row>
    <row r="1824" spans="12:13">
      <c r="L1824" s="66">
        <v>426191</v>
      </c>
      <c r="M1824" t="s">
        <v>1570</v>
      </c>
    </row>
    <row r="1825" spans="12:13">
      <c r="L1825" s="66">
        <v>426200</v>
      </c>
      <c r="M1825" t="s">
        <v>1571</v>
      </c>
    </row>
    <row r="1826" spans="12:13">
      <c r="L1826" s="66">
        <v>426210</v>
      </c>
      <c r="M1826" t="s">
        <v>1572</v>
      </c>
    </row>
    <row r="1827" spans="12:13">
      <c r="L1827" s="66">
        <v>426211</v>
      </c>
      <c r="M1827" t="s">
        <v>1572</v>
      </c>
    </row>
    <row r="1828" spans="12:13">
      <c r="L1828" s="66">
        <v>426220</v>
      </c>
      <c r="M1828" t="s">
        <v>1573</v>
      </c>
    </row>
    <row r="1829" spans="12:13">
      <c r="L1829" s="66">
        <v>426221</v>
      </c>
      <c r="M1829" t="s">
        <v>1573</v>
      </c>
    </row>
    <row r="1830" spans="12:13">
      <c r="L1830" s="66">
        <v>426230</v>
      </c>
      <c r="M1830" t="s">
        <v>1574</v>
      </c>
    </row>
    <row r="1831" spans="12:13">
      <c r="L1831" s="66">
        <v>426231</v>
      </c>
      <c r="M1831" t="s">
        <v>1574</v>
      </c>
    </row>
    <row r="1832" spans="12:13">
      <c r="L1832" s="66">
        <v>426240</v>
      </c>
      <c r="M1832" t="s">
        <v>1575</v>
      </c>
    </row>
    <row r="1833" spans="12:13">
      <c r="L1833" s="66">
        <v>426241</v>
      </c>
      <c r="M1833" t="s">
        <v>1575</v>
      </c>
    </row>
    <row r="1834" spans="12:13">
      <c r="L1834" s="66">
        <v>426250</v>
      </c>
      <c r="M1834" t="s">
        <v>1576</v>
      </c>
    </row>
    <row r="1835" spans="12:13">
      <c r="L1835" s="66">
        <v>426251</v>
      </c>
      <c r="M1835" t="s">
        <v>1576</v>
      </c>
    </row>
    <row r="1836" spans="12:13">
      <c r="L1836" s="66">
        <v>426290</v>
      </c>
      <c r="M1836" t="s">
        <v>1577</v>
      </c>
    </row>
    <row r="1837" spans="12:13">
      <c r="L1837" s="66">
        <v>426291</v>
      </c>
      <c r="M1837" t="s">
        <v>1577</v>
      </c>
    </row>
    <row r="1838" spans="12:13">
      <c r="L1838" s="66">
        <v>426300</v>
      </c>
      <c r="M1838" t="s">
        <v>1578</v>
      </c>
    </row>
    <row r="1839" spans="12:13">
      <c r="L1839" s="66">
        <v>426310</v>
      </c>
      <c r="M1839" t="s">
        <v>1579</v>
      </c>
    </row>
    <row r="1840" spans="12:13">
      <c r="L1840" s="66">
        <v>426311</v>
      </c>
      <c r="M1840" t="s">
        <v>1580</v>
      </c>
    </row>
    <row r="1841" spans="12:13">
      <c r="L1841" s="66">
        <v>426312</v>
      </c>
      <c r="M1841" t="s">
        <v>1581</v>
      </c>
    </row>
    <row r="1842" spans="12:13">
      <c r="L1842" s="66">
        <v>426320</v>
      </c>
      <c r="M1842" t="s">
        <v>1582</v>
      </c>
    </row>
    <row r="1843" spans="12:13">
      <c r="L1843" s="66">
        <v>426321</v>
      </c>
      <c r="M1843" t="s">
        <v>1582</v>
      </c>
    </row>
    <row r="1844" spans="12:13">
      <c r="L1844" s="66">
        <v>426400</v>
      </c>
      <c r="M1844" t="s">
        <v>1583</v>
      </c>
    </row>
    <row r="1845" spans="12:13">
      <c r="L1845" s="66">
        <v>426410</v>
      </c>
      <c r="M1845" t="s">
        <v>1584</v>
      </c>
    </row>
    <row r="1846" spans="12:13">
      <c r="L1846" s="66">
        <v>426411</v>
      </c>
      <c r="M1846" t="s">
        <v>1585</v>
      </c>
    </row>
    <row r="1847" spans="12:13">
      <c r="L1847" s="66">
        <v>426412</v>
      </c>
      <c r="M1847" t="s">
        <v>1586</v>
      </c>
    </row>
    <row r="1848" spans="12:13">
      <c r="L1848" s="66">
        <v>426413</v>
      </c>
      <c r="M1848" t="s">
        <v>1587</v>
      </c>
    </row>
    <row r="1849" spans="12:13">
      <c r="L1849" s="66">
        <v>426490</v>
      </c>
      <c r="M1849" t="s">
        <v>1588</v>
      </c>
    </row>
    <row r="1850" spans="12:13">
      <c r="L1850" s="66">
        <v>426491</v>
      </c>
      <c r="M1850" t="s">
        <v>1588</v>
      </c>
    </row>
    <row r="1851" spans="12:13">
      <c r="L1851" s="66">
        <v>426500</v>
      </c>
      <c r="M1851" t="s">
        <v>1589</v>
      </c>
    </row>
    <row r="1852" spans="12:13">
      <c r="L1852" s="66">
        <v>426510</v>
      </c>
      <c r="M1852" t="s">
        <v>1590</v>
      </c>
    </row>
    <row r="1853" spans="12:13">
      <c r="L1853" s="66">
        <v>426511</v>
      </c>
      <c r="M1853" t="s">
        <v>1590</v>
      </c>
    </row>
    <row r="1854" spans="12:13">
      <c r="L1854" s="66">
        <v>426520</v>
      </c>
      <c r="M1854" t="s">
        <v>1591</v>
      </c>
    </row>
    <row r="1855" spans="12:13">
      <c r="L1855" s="66">
        <v>426521</v>
      </c>
      <c r="M1855" t="s">
        <v>1591</v>
      </c>
    </row>
    <row r="1856" spans="12:13">
      <c r="L1856" s="66">
        <v>426530</v>
      </c>
      <c r="M1856" t="s">
        <v>1592</v>
      </c>
    </row>
    <row r="1857" spans="12:13">
      <c r="L1857" s="66">
        <v>426531</v>
      </c>
      <c r="M1857" t="s">
        <v>1592</v>
      </c>
    </row>
    <row r="1858" spans="12:13">
      <c r="L1858" s="66">
        <v>426540</v>
      </c>
      <c r="M1858" t="s">
        <v>1593</v>
      </c>
    </row>
    <row r="1859" spans="12:13">
      <c r="L1859" s="66">
        <v>426541</v>
      </c>
      <c r="M1859" t="s">
        <v>1593</v>
      </c>
    </row>
    <row r="1860" spans="12:13">
      <c r="L1860" s="66">
        <v>426550</v>
      </c>
      <c r="M1860" t="s">
        <v>1594</v>
      </c>
    </row>
    <row r="1861" spans="12:13">
      <c r="L1861" s="66">
        <v>426551</v>
      </c>
      <c r="M1861" t="s">
        <v>1594</v>
      </c>
    </row>
    <row r="1862" spans="12:13">
      <c r="L1862" s="66">
        <v>426590</v>
      </c>
      <c r="M1862" t="s">
        <v>1595</v>
      </c>
    </row>
    <row r="1863" spans="12:13">
      <c r="L1863" s="66">
        <v>426591</v>
      </c>
      <c r="M1863" t="s">
        <v>1595</v>
      </c>
    </row>
    <row r="1864" spans="12:13">
      <c r="L1864" s="66">
        <v>426600</v>
      </c>
      <c r="M1864" t="s">
        <v>1596</v>
      </c>
    </row>
    <row r="1865" spans="12:13">
      <c r="L1865" s="66">
        <v>426610</v>
      </c>
      <c r="M1865" t="s">
        <v>1582</v>
      </c>
    </row>
    <row r="1866" spans="12:13">
      <c r="L1866" s="66">
        <v>426611</v>
      </c>
      <c r="M1866" t="s">
        <v>1582</v>
      </c>
    </row>
    <row r="1867" spans="12:13">
      <c r="L1867" s="66">
        <v>426620</v>
      </c>
      <c r="M1867" t="s">
        <v>1597</v>
      </c>
    </row>
    <row r="1868" spans="12:13">
      <c r="L1868" s="66">
        <v>426621</v>
      </c>
      <c r="M1868" t="s">
        <v>1597</v>
      </c>
    </row>
    <row r="1869" spans="12:13">
      <c r="L1869" s="66">
        <v>426630</v>
      </c>
      <c r="M1869" t="s">
        <v>1598</v>
      </c>
    </row>
    <row r="1870" spans="12:13">
      <c r="L1870" s="66">
        <v>426631</v>
      </c>
      <c r="M1870" t="s">
        <v>1598</v>
      </c>
    </row>
    <row r="1871" spans="12:13">
      <c r="L1871" s="66">
        <v>426700</v>
      </c>
      <c r="M1871" t="s">
        <v>1599</v>
      </c>
    </row>
    <row r="1872" spans="12:13">
      <c r="L1872" s="66">
        <v>426710</v>
      </c>
      <c r="M1872" t="s">
        <v>1600</v>
      </c>
    </row>
    <row r="1873" spans="12:13">
      <c r="L1873" s="66">
        <v>426711</v>
      </c>
      <c r="M1873" t="s">
        <v>1600</v>
      </c>
    </row>
    <row r="1874" spans="12:13">
      <c r="L1874" s="66">
        <v>426720</v>
      </c>
      <c r="M1874" t="s">
        <v>1601</v>
      </c>
    </row>
    <row r="1875" spans="12:13">
      <c r="L1875" s="66">
        <v>426721</v>
      </c>
      <c r="M1875" t="s">
        <v>1601</v>
      </c>
    </row>
    <row r="1876" spans="12:13">
      <c r="L1876" s="66">
        <v>426730</v>
      </c>
      <c r="M1876" t="s">
        <v>1602</v>
      </c>
    </row>
    <row r="1877" spans="12:13">
      <c r="L1877" s="66">
        <v>426731</v>
      </c>
      <c r="M1877" t="s">
        <v>1602</v>
      </c>
    </row>
    <row r="1878" spans="12:13">
      <c r="L1878" s="66">
        <v>426740</v>
      </c>
      <c r="M1878" t="s">
        <v>1603</v>
      </c>
    </row>
    <row r="1879" spans="12:13">
      <c r="L1879" s="66">
        <v>426741</v>
      </c>
      <c r="M1879" t="s">
        <v>1603</v>
      </c>
    </row>
    <row r="1880" spans="12:13">
      <c r="L1880" s="66">
        <v>426750</v>
      </c>
      <c r="M1880" t="s">
        <v>1604</v>
      </c>
    </row>
    <row r="1881" spans="12:13">
      <c r="L1881" s="66">
        <v>426751</v>
      </c>
      <c r="M1881" t="s">
        <v>1604</v>
      </c>
    </row>
    <row r="1882" spans="12:13">
      <c r="L1882" s="66">
        <v>426760</v>
      </c>
      <c r="M1882" t="s">
        <v>1605</v>
      </c>
    </row>
    <row r="1883" spans="12:13">
      <c r="L1883" s="66">
        <v>426761</v>
      </c>
      <c r="M1883" t="s">
        <v>1605</v>
      </c>
    </row>
    <row r="1884" spans="12:13">
      <c r="L1884" s="66">
        <v>426790</v>
      </c>
      <c r="M1884" t="s">
        <v>1606</v>
      </c>
    </row>
    <row r="1885" spans="12:13">
      <c r="L1885" s="66">
        <v>426791</v>
      </c>
      <c r="M1885" t="s">
        <v>1606</v>
      </c>
    </row>
    <row r="1886" spans="12:13">
      <c r="L1886" s="66">
        <v>426800</v>
      </c>
      <c r="M1886" t="s">
        <v>1607</v>
      </c>
    </row>
    <row r="1887" spans="12:13">
      <c r="L1887" s="66">
        <v>426810</v>
      </c>
      <c r="M1887" t="s">
        <v>1608</v>
      </c>
    </row>
    <row r="1888" spans="12:13">
      <c r="L1888" s="66">
        <v>426811</v>
      </c>
      <c r="M1888" t="s">
        <v>1609</v>
      </c>
    </row>
    <row r="1889" spans="12:13">
      <c r="L1889" s="66">
        <v>426812</v>
      </c>
      <c r="M1889" t="s">
        <v>1610</v>
      </c>
    </row>
    <row r="1890" spans="12:13">
      <c r="L1890" s="66">
        <v>426819</v>
      </c>
      <c r="M1890" t="s">
        <v>1611</v>
      </c>
    </row>
    <row r="1891" spans="12:13">
      <c r="L1891" s="66">
        <v>426820</v>
      </c>
      <c r="M1891" t="s">
        <v>1612</v>
      </c>
    </row>
    <row r="1892" spans="12:13">
      <c r="L1892" s="66">
        <v>426821</v>
      </c>
      <c r="M1892" t="s">
        <v>1613</v>
      </c>
    </row>
    <row r="1893" spans="12:13">
      <c r="L1893" s="66">
        <v>426822</v>
      </c>
      <c r="M1893" t="s">
        <v>1614</v>
      </c>
    </row>
    <row r="1894" spans="12:13">
      <c r="L1894" s="66">
        <v>426823</v>
      </c>
      <c r="M1894" t="s">
        <v>1615</v>
      </c>
    </row>
    <row r="1895" spans="12:13">
      <c r="L1895" s="66">
        <v>426829</v>
      </c>
      <c r="M1895" t="s">
        <v>1616</v>
      </c>
    </row>
    <row r="1896" spans="12:13">
      <c r="L1896" s="66">
        <v>426900</v>
      </c>
      <c r="M1896" t="s">
        <v>1617</v>
      </c>
    </row>
    <row r="1897" spans="12:13">
      <c r="L1897" s="66">
        <v>426910</v>
      </c>
      <c r="M1897" t="s">
        <v>1617</v>
      </c>
    </row>
    <row r="1898" spans="12:13">
      <c r="L1898" s="66">
        <v>426911</v>
      </c>
      <c r="M1898" t="s">
        <v>1618</v>
      </c>
    </row>
    <row r="1899" spans="12:13">
      <c r="L1899" s="66">
        <v>426912</v>
      </c>
      <c r="M1899" t="s">
        <v>1619</v>
      </c>
    </row>
    <row r="1900" spans="12:13">
      <c r="L1900" s="66">
        <v>426913</v>
      </c>
      <c r="M1900" t="s">
        <v>1620</v>
      </c>
    </row>
    <row r="1901" spans="12:13">
      <c r="L1901" s="66">
        <v>426914</v>
      </c>
      <c r="M1901" t="s">
        <v>1621</v>
      </c>
    </row>
    <row r="1902" spans="12:13">
      <c r="L1902" s="66">
        <v>426919</v>
      </c>
      <c r="M1902" t="s">
        <v>1622</v>
      </c>
    </row>
    <row r="1903" spans="12:13">
      <c r="L1903" s="66">
        <v>430000</v>
      </c>
      <c r="M1903" t="s">
        <v>1623</v>
      </c>
    </row>
    <row r="1904" spans="12:13">
      <c r="L1904" s="66">
        <v>431000</v>
      </c>
      <c r="M1904" t="s">
        <v>1624</v>
      </c>
    </row>
    <row r="1905" spans="12:13">
      <c r="L1905" s="66">
        <v>431100</v>
      </c>
      <c r="M1905" t="s">
        <v>1625</v>
      </c>
    </row>
    <row r="1906" spans="12:13">
      <c r="L1906" s="66">
        <v>431110</v>
      </c>
      <c r="M1906" t="s">
        <v>1625</v>
      </c>
    </row>
    <row r="1907" spans="12:13">
      <c r="L1907" s="66">
        <v>431111</v>
      </c>
      <c r="M1907" t="s">
        <v>1625</v>
      </c>
    </row>
    <row r="1908" spans="12:13">
      <c r="L1908" s="66">
        <v>431200</v>
      </c>
      <c r="M1908" t="s">
        <v>1626</v>
      </c>
    </row>
    <row r="1909" spans="12:13">
      <c r="L1909" s="66">
        <v>431210</v>
      </c>
      <c r="M1909" t="s">
        <v>1626</v>
      </c>
    </row>
    <row r="1910" spans="12:13">
      <c r="L1910" s="66">
        <v>431211</v>
      </c>
      <c r="M1910" t="s">
        <v>1626</v>
      </c>
    </row>
    <row r="1911" spans="12:13">
      <c r="L1911" s="66">
        <v>431300</v>
      </c>
      <c r="M1911" t="s">
        <v>1627</v>
      </c>
    </row>
    <row r="1912" spans="12:13">
      <c r="L1912" s="66">
        <v>431310</v>
      </c>
      <c r="M1912" t="s">
        <v>1627</v>
      </c>
    </row>
    <row r="1913" spans="12:13">
      <c r="L1913" s="66">
        <v>431311</v>
      </c>
      <c r="M1913" t="s">
        <v>1627</v>
      </c>
    </row>
    <row r="1914" spans="12:13">
      <c r="L1914" s="66">
        <v>432000</v>
      </c>
      <c r="M1914" t="s">
        <v>1628</v>
      </c>
    </row>
    <row r="1915" spans="12:13">
      <c r="L1915" s="66">
        <v>432100</v>
      </c>
      <c r="M1915" t="s">
        <v>1628</v>
      </c>
    </row>
    <row r="1916" spans="12:13">
      <c r="L1916" s="66">
        <v>432110</v>
      </c>
      <c r="M1916" t="s">
        <v>1628</v>
      </c>
    </row>
    <row r="1917" spans="12:13">
      <c r="L1917" s="66">
        <v>432111</v>
      </c>
      <c r="M1917" t="s">
        <v>1628</v>
      </c>
    </row>
    <row r="1918" spans="12:13">
      <c r="L1918" t="s">
        <v>1629</v>
      </c>
      <c r="M1918" t="s">
        <v>1630</v>
      </c>
    </row>
    <row r="1919" spans="12:13">
      <c r="L1919" s="66">
        <v>433100</v>
      </c>
      <c r="M1919" t="s">
        <v>1631</v>
      </c>
    </row>
    <row r="1920" spans="12:13">
      <c r="L1920" s="66">
        <v>433110</v>
      </c>
      <c r="M1920" t="s">
        <v>1631</v>
      </c>
    </row>
    <row r="1921" spans="12:13">
      <c r="L1921" s="66">
        <v>433111</v>
      </c>
      <c r="M1921" t="s">
        <v>1631</v>
      </c>
    </row>
    <row r="1922" spans="12:13">
      <c r="L1922" s="66">
        <v>434000</v>
      </c>
      <c r="M1922" t="s">
        <v>1632</v>
      </c>
    </row>
    <row r="1923" spans="12:13">
      <c r="L1923" s="66">
        <v>434100</v>
      </c>
      <c r="M1923" t="s">
        <v>1633</v>
      </c>
    </row>
    <row r="1924" spans="12:13">
      <c r="L1924" s="66">
        <v>434110</v>
      </c>
      <c r="M1924" t="s">
        <v>1633</v>
      </c>
    </row>
    <row r="1925" spans="12:13">
      <c r="L1925" s="66">
        <v>434111</v>
      </c>
      <c r="M1925" t="s">
        <v>1633</v>
      </c>
    </row>
    <row r="1926" spans="12:13">
      <c r="L1926" s="66">
        <v>434200</v>
      </c>
      <c r="M1926" t="s">
        <v>1634</v>
      </c>
    </row>
    <row r="1927" spans="12:13">
      <c r="L1927" s="66">
        <v>434210</v>
      </c>
      <c r="M1927" t="s">
        <v>1634</v>
      </c>
    </row>
    <row r="1928" spans="12:13">
      <c r="L1928" s="66">
        <v>434211</v>
      </c>
      <c r="M1928" t="s">
        <v>1634</v>
      </c>
    </row>
    <row r="1929" spans="12:13">
      <c r="L1929" s="66">
        <v>434300</v>
      </c>
      <c r="M1929" t="s">
        <v>1635</v>
      </c>
    </row>
    <row r="1930" spans="12:13">
      <c r="L1930" s="66">
        <v>434310</v>
      </c>
      <c r="M1930" t="s">
        <v>1636</v>
      </c>
    </row>
    <row r="1931" spans="12:13">
      <c r="L1931" s="66">
        <v>434311</v>
      </c>
      <c r="M1931" t="s">
        <v>1636</v>
      </c>
    </row>
    <row r="1932" spans="12:13">
      <c r="L1932" s="66">
        <v>434320</v>
      </c>
      <c r="M1932" t="s">
        <v>1637</v>
      </c>
    </row>
    <row r="1933" spans="12:13">
      <c r="L1933" s="66">
        <v>434321</v>
      </c>
      <c r="M1933" t="s">
        <v>1637</v>
      </c>
    </row>
    <row r="1934" spans="12:13">
      <c r="L1934" s="66">
        <v>435000</v>
      </c>
      <c r="M1934" t="s">
        <v>1638</v>
      </c>
    </row>
    <row r="1935" spans="12:13">
      <c r="L1935" s="66">
        <v>435100</v>
      </c>
      <c r="M1935" t="s">
        <v>1638</v>
      </c>
    </row>
    <row r="1936" spans="12:13">
      <c r="L1936" s="66">
        <v>435110</v>
      </c>
      <c r="M1936" t="s">
        <v>1638</v>
      </c>
    </row>
    <row r="1937" spans="12:13">
      <c r="L1937" s="66">
        <v>435111</v>
      </c>
      <c r="M1937" t="s">
        <v>1638</v>
      </c>
    </row>
    <row r="1938" spans="12:13">
      <c r="L1938" s="66">
        <v>440000</v>
      </c>
      <c r="M1938" t="s">
        <v>1639</v>
      </c>
    </row>
    <row r="1939" spans="12:13">
      <c r="L1939" s="66">
        <v>441000</v>
      </c>
      <c r="M1939" t="s">
        <v>1640</v>
      </c>
    </row>
    <row r="1940" spans="12:13">
      <c r="L1940" s="66">
        <v>441100</v>
      </c>
      <c r="M1940" t="s">
        <v>1641</v>
      </c>
    </row>
    <row r="1941" spans="12:13">
      <c r="L1941" s="66">
        <v>441110</v>
      </c>
      <c r="M1941" t="s">
        <v>1642</v>
      </c>
    </row>
    <row r="1942" spans="12:13">
      <c r="L1942" s="66">
        <v>441111</v>
      </c>
      <c r="M1942" t="s">
        <v>1642</v>
      </c>
    </row>
    <row r="1943" spans="12:13">
      <c r="L1943" s="66">
        <v>441120</v>
      </c>
      <c r="M1943" t="s">
        <v>1643</v>
      </c>
    </row>
    <row r="1944" spans="12:13">
      <c r="L1944" s="66">
        <v>441121</v>
      </c>
      <c r="M1944" t="s">
        <v>1643</v>
      </c>
    </row>
    <row r="1945" spans="12:13">
      <c r="L1945" s="66">
        <v>441200</v>
      </c>
      <c r="M1945" t="s">
        <v>1644</v>
      </c>
    </row>
    <row r="1946" spans="12:13">
      <c r="L1946" s="66">
        <v>441210</v>
      </c>
      <c r="M1946" t="s">
        <v>1645</v>
      </c>
    </row>
    <row r="1947" spans="12:13">
      <c r="L1947" s="66">
        <v>441211</v>
      </c>
      <c r="M1947" t="s">
        <v>1645</v>
      </c>
    </row>
    <row r="1948" spans="12:13">
      <c r="L1948" s="66">
        <v>441220</v>
      </c>
      <c r="M1948" t="s">
        <v>1646</v>
      </c>
    </row>
    <row r="1949" spans="12:13">
      <c r="L1949" s="66">
        <v>441221</v>
      </c>
      <c r="M1949" t="s">
        <v>1646</v>
      </c>
    </row>
    <row r="1950" spans="12:13">
      <c r="L1950" s="66">
        <v>441230</v>
      </c>
      <c r="M1950" t="s">
        <v>1647</v>
      </c>
    </row>
    <row r="1951" spans="12:13">
      <c r="L1951" s="66">
        <v>441231</v>
      </c>
      <c r="M1951" t="s">
        <v>1647</v>
      </c>
    </row>
    <row r="1952" spans="12:13">
      <c r="L1952" s="66">
        <v>441240</v>
      </c>
      <c r="M1952" t="s">
        <v>1648</v>
      </c>
    </row>
    <row r="1953" spans="12:13">
      <c r="L1953" s="66">
        <v>441241</v>
      </c>
      <c r="M1953" t="s">
        <v>1648</v>
      </c>
    </row>
    <row r="1954" spans="12:13">
      <c r="L1954" s="66">
        <v>441250</v>
      </c>
      <c r="M1954" t="s">
        <v>1649</v>
      </c>
    </row>
    <row r="1955" spans="12:13">
      <c r="L1955" s="66">
        <v>441251</v>
      </c>
      <c r="M1955" t="s">
        <v>1650</v>
      </c>
    </row>
    <row r="1956" spans="12:13">
      <c r="L1956" s="66">
        <v>441252</v>
      </c>
      <c r="M1956" t="s">
        <v>1651</v>
      </c>
    </row>
    <row r="1957" spans="12:13">
      <c r="L1957" s="66">
        <v>441255</v>
      </c>
      <c r="M1957" t="s">
        <v>1652</v>
      </c>
    </row>
    <row r="1958" spans="12:13">
      <c r="L1958" s="66">
        <v>441300</v>
      </c>
      <c r="M1958" t="s">
        <v>1653</v>
      </c>
    </row>
    <row r="1959" spans="12:13">
      <c r="L1959" s="66">
        <v>441310</v>
      </c>
      <c r="M1959" t="s">
        <v>1654</v>
      </c>
    </row>
    <row r="1960" spans="12:13">
      <c r="L1960" s="66">
        <v>441311</v>
      </c>
      <c r="M1960" t="s">
        <v>1654</v>
      </c>
    </row>
    <row r="1961" spans="12:13">
      <c r="L1961" s="66">
        <v>441390</v>
      </c>
      <c r="M1961" t="s">
        <v>1655</v>
      </c>
    </row>
    <row r="1962" spans="12:13">
      <c r="L1962" s="66">
        <v>441391</v>
      </c>
      <c r="M1962" t="s">
        <v>1655</v>
      </c>
    </row>
    <row r="1963" spans="12:13">
      <c r="L1963" s="66">
        <v>441400</v>
      </c>
      <c r="M1963" t="s">
        <v>1656</v>
      </c>
    </row>
    <row r="1964" spans="12:13">
      <c r="L1964" s="66">
        <v>441410</v>
      </c>
      <c r="M1964" t="s">
        <v>1656</v>
      </c>
    </row>
    <row r="1965" spans="12:13">
      <c r="L1965" s="66">
        <v>441411</v>
      </c>
      <c r="M1965" t="s">
        <v>1656</v>
      </c>
    </row>
    <row r="1966" spans="12:13">
      <c r="L1966" s="66">
        <v>441500</v>
      </c>
      <c r="M1966" t="s">
        <v>1657</v>
      </c>
    </row>
    <row r="1967" spans="12:13">
      <c r="L1967" s="66">
        <v>441510</v>
      </c>
      <c r="M1967" t="s">
        <v>1657</v>
      </c>
    </row>
    <row r="1968" spans="12:13">
      <c r="L1968" s="66">
        <v>441511</v>
      </c>
      <c r="M1968" t="s">
        <v>1657</v>
      </c>
    </row>
    <row r="1969" spans="12:13">
      <c r="L1969" s="66">
        <v>441600</v>
      </c>
      <c r="M1969" t="s">
        <v>1658</v>
      </c>
    </row>
    <row r="1970" spans="12:13">
      <c r="L1970" s="66">
        <v>441610</v>
      </c>
      <c r="M1970" t="s">
        <v>1658</v>
      </c>
    </row>
    <row r="1971" spans="12:13">
      <c r="L1971" s="66">
        <v>441611</v>
      </c>
      <c r="M1971" t="s">
        <v>1658</v>
      </c>
    </row>
    <row r="1972" spans="12:13">
      <c r="L1972" s="66">
        <v>441700</v>
      </c>
      <c r="M1972" t="s">
        <v>1659</v>
      </c>
    </row>
    <row r="1973" spans="12:13">
      <c r="L1973" s="66">
        <v>441710</v>
      </c>
      <c r="M1973" t="s">
        <v>1659</v>
      </c>
    </row>
    <row r="1974" spans="12:13">
      <c r="L1974" s="66">
        <v>441711</v>
      </c>
      <c r="M1974" t="s">
        <v>1659</v>
      </c>
    </row>
    <row r="1975" spans="12:13">
      <c r="L1975" s="66">
        <v>441800</v>
      </c>
      <c r="M1975" t="s">
        <v>1660</v>
      </c>
    </row>
    <row r="1976" spans="12:13">
      <c r="L1976" s="66">
        <v>441810</v>
      </c>
      <c r="M1976" t="s">
        <v>1660</v>
      </c>
    </row>
    <row r="1977" spans="12:13">
      <c r="L1977" s="66">
        <v>441811</v>
      </c>
      <c r="M1977" t="s">
        <v>1660</v>
      </c>
    </row>
    <row r="1978" spans="12:13">
      <c r="L1978" s="66">
        <v>441900</v>
      </c>
      <c r="M1978" t="s">
        <v>1661</v>
      </c>
    </row>
    <row r="1979" spans="12:13">
      <c r="L1979" s="66">
        <v>441910</v>
      </c>
      <c r="M1979" t="s">
        <v>1661</v>
      </c>
    </row>
    <row r="1980" spans="12:13">
      <c r="L1980" s="66">
        <v>441911</v>
      </c>
      <c r="M1980" t="s">
        <v>1662</v>
      </c>
    </row>
    <row r="1981" spans="12:13">
      <c r="L1981" s="66">
        <v>442000</v>
      </c>
      <c r="M1981" t="s">
        <v>1663</v>
      </c>
    </row>
    <row r="1982" spans="12:13">
      <c r="L1982" s="66">
        <v>442100</v>
      </c>
      <c r="M1982" t="s">
        <v>1664</v>
      </c>
    </row>
    <row r="1983" spans="12:13">
      <c r="L1983" s="66">
        <v>442110</v>
      </c>
      <c r="M1983" t="s">
        <v>1665</v>
      </c>
    </row>
    <row r="1984" spans="12:13">
      <c r="L1984" s="66">
        <v>442111</v>
      </c>
      <c r="M1984" t="s">
        <v>1665</v>
      </c>
    </row>
    <row r="1985" spans="12:13">
      <c r="L1985" s="66">
        <v>442120</v>
      </c>
      <c r="M1985" t="s">
        <v>1666</v>
      </c>
    </row>
    <row r="1986" spans="12:13">
      <c r="L1986" s="66">
        <v>442121</v>
      </c>
      <c r="M1986" t="s">
        <v>1667</v>
      </c>
    </row>
    <row r="1987" spans="12:13">
      <c r="L1987" s="66">
        <v>442200</v>
      </c>
      <c r="M1987" t="s">
        <v>1668</v>
      </c>
    </row>
    <row r="1988" spans="12:13">
      <c r="L1988" s="66">
        <v>442210</v>
      </c>
      <c r="M1988" t="s">
        <v>1669</v>
      </c>
    </row>
    <row r="1989" spans="12:13">
      <c r="L1989" s="66">
        <v>442211</v>
      </c>
      <c r="M1989" t="s">
        <v>1669</v>
      </c>
    </row>
    <row r="1990" spans="12:13">
      <c r="L1990" s="66">
        <v>442220</v>
      </c>
      <c r="M1990" t="s">
        <v>1670</v>
      </c>
    </row>
    <row r="1991" spans="12:13">
      <c r="L1991" s="66">
        <v>442221</v>
      </c>
      <c r="M1991" t="s">
        <v>1670</v>
      </c>
    </row>
    <row r="1992" spans="12:13">
      <c r="L1992" s="66">
        <v>442290</v>
      </c>
      <c r="M1992" t="s">
        <v>1671</v>
      </c>
    </row>
    <row r="1993" spans="12:13">
      <c r="L1993" s="66">
        <v>442291</v>
      </c>
      <c r="M1993" t="s">
        <v>1671</v>
      </c>
    </row>
    <row r="1994" spans="12:13">
      <c r="L1994" s="66">
        <v>442300</v>
      </c>
      <c r="M1994" t="s">
        <v>1672</v>
      </c>
    </row>
    <row r="1995" spans="12:13">
      <c r="L1995" s="66">
        <v>442310</v>
      </c>
      <c r="M1995" t="s">
        <v>1673</v>
      </c>
    </row>
    <row r="1996" spans="12:13">
      <c r="L1996" s="66">
        <v>442311</v>
      </c>
      <c r="M1996" t="s">
        <v>1673</v>
      </c>
    </row>
    <row r="1997" spans="12:13">
      <c r="L1997" s="66">
        <v>442320</v>
      </c>
      <c r="M1997" t="s">
        <v>1674</v>
      </c>
    </row>
    <row r="1998" spans="12:13">
      <c r="L1998" s="66">
        <v>442321</v>
      </c>
      <c r="M1998" t="s">
        <v>1674</v>
      </c>
    </row>
    <row r="1999" spans="12:13">
      <c r="L1999" s="66">
        <v>442330</v>
      </c>
      <c r="M1999" t="s">
        <v>1675</v>
      </c>
    </row>
    <row r="2000" spans="12:13">
      <c r="L2000" s="66">
        <v>442331</v>
      </c>
      <c r="M2000" t="s">
        <v>1675</v>
      </c>
    </row>
    <row r="2001" spans="12:13">
      <c r="L2001" s="66">
        <v>442340</v>
      </c>
      <c r="M2001" t="s">
        <v>1676</v>
      </c>
    </row>
    <row r="2002" spans="12:13">
      <c r="L2002" s="66">
        <v>442341</v>
      </c>
      <c r="M2002" t="s">
        <v>1676</v>
      </c>
    </row>
    <row r="2003" spans="12:13">
      <c r="L2003" s="66">
        <v>442350</v>
      </c>
      <c r="M2003" t="s">
        <v>1677</v>
      </c>
    </row>
    <row r="2004" spans="12:13">
      <c r="L2004" s="66">
        <v>442351</v>
      </c>
      <c r="M2004" t="s">
        <v>1677</v>
      </c>
    </row>
    <row r="2005" spans="12:13">
      <c r="L2005" s="66">
        <v>442390</v>
      </c>
      <c r="M2005" t="s">
        <v>1678</v>
      </c>
    </row>
    <row r="2006" spans="12:13">
      <c r="L2006" s="66">
        <v>442391</v>
      </c>
      <c r="M2006" t="s">
        <v>1678</v>
      </c>
    </row>
    <row r="2007" spans="12:13">
      <c r="L2007" s="66">
        <v>442400</v>
      </c>
      <c r="M2007" t="s">
        <v>1679</v>
      </c>
    </row>
    <row r="2008" spans="12:13">
      <c r="L2008" s="66">
        <v>442410</v>
      </c>
      <c r="M2008" t="s">
        <v>1680</v>
      </c>
    </row>
    <row r="2009" spans="12:13">
      <c r="L2009" s="66">
        <v>442411</v>
      </c>
      <c r="M2009" t="s">
        <v>1680</v>
      </c>
    </row>
    <row r="2010" spans="12:13">
      <c r="L2010" s="66">
        <v>442490</v>
      </c>
      <c r="M2010" t="s">
        <v>1681</v>
      </c>
    </row>
    <row r="2011" spans="12:13">
      <c r="L2011" s="66">
        <v>442491</v>
      </c>
      <c r="M2011" t="s">
        <v>1681</v>
      </c>
    </row>
    <row r="2012" spans="12:13">
      <c r="L2012" s="66">
        <v>442500</v>
      </c>
      <c r="M2012" t="s">
        <v>1682</v>
      </c>
    </row>
    <row r="2013" spans="12:13">
      <c r="L2013" s="66">
        <v>442510</v>
      </c>
      <c r="M2013" t="s">
        <v>1682</v>
      </c>
    </row>
    <row r="2014" spans="12:13">
      <c r="L2014" s="66">
        <v>442511</v>
      </c>
      <c r="M2014" t="s">
        <v>1682</v>
      </c>
    </row>
    <row r="2015" spans="12:13">
      <c r="L2015" s="66">
        <v>442600</v>
      </c>
      <c r="M2015" t="s">
        <v>1683</v>
      </c>
    </row>
    <row r="2016" spans="12:13">
      <c r="L2016" s="66">
        <v>442610</v>
      </c>
      <c r="M2016" t="s">
        <v>1683</v>
      </c>
    </row>
    <row r="2017" spans="12:13">
      <c r="L2017" s="66">
        <v>442611</v>
      </c>
      <c r="M2017" t="s">
        <v>1683</v>
      </c>
    </row>
    <row r="2018" spans="12:13">
      <c r="L2018" s="66">
        <v>443000</v>
      </c>
      <c r="M2018" t="s">
        <v>1684</v>
      </c>
    </row>
    <row r="2019" spans="12:13">
      <c r="L2019" s="66">
        <v>443100</v>
      </c>
      <c r="M2019" t="s">
        <v>1684</v>
      </c>
    </row>
    <row r="2020" spans="12:13">
      <c r="L2020" s="66">
        <v>443110</v>
      </c>
      <c r="M2020" t="s">
        <v>1684</v>
      </c>
    </row>
    <row r="2021" spans="12:13">
      <c r="L2021" s="66">
        <v>443111</v>
      </c>
      <c r="M2021" t="s">
        <v>1684</v>
      </c>
    </row>
    <row r="2022" spans="12:13">
      <c r="L2022" s="66">
        <v>444000</v>
      </c>
      <c r="M2022" t="s">
        <v>1685</v>
      </c>
    </row>
    <row r="2023" spans="12:13">
      <c r="L2023" s="66">
        <v>444100</v>
      </c>
      <c r="M2023" t="s">
        <v>1686</v>
      </c>
    </row>
    <row r="2024" spans="12:13">
      <c r="L2024" s="66">
        <v>444110</v>
      </c>
      <c r="M2024" t="s">
        <v>1686</v>
      </c>
    </row>
    <row r="2025" spans="12:13">
      <c r="L2025" s="66">
        <v>444111</v>
      </c>
      <c r="M2025" t="s">
        <v>1686</v>
      </c>
    </row>
    <row r="2026" spans="12:13">
      <c r="L2026" s="66">
        <v>444200</v>
      </c>
      <c r="M2026" t="s">
        <v>1687</v>
      </c>
    </row>
    <row r="2027" spans="12:13">
      <c r="L2027" s="66">
        <v>444210</v>
      </c>
      <c r="M2027" t="s">
        <v>1687</v>
      </c>
    </row>
    <row r="2028" spans="12:13">
      <c r="L2028" s="66">
        <v>444211</v>
      </c>
      <c r="M2028" t="s">
        <v>1687</v>
      </c>
    </row>
    <row r="2029" spans="12:13">
      <c r="L2029" s="66">
        <v>444212</v>
      </c>
      <c r="M2029" t="s">
        <v>1688</v>
      </c>
    </row>
    <row r="2030" spans="12:13">
      <c r="L2030" s="66">
        <v>444219</v>
      </c>
      <c r="M2030" t="s">
        <v>1689</v>
      </c>
    </row>
    <row r="2031" spans="12:13">
      <c r="L2031" s="66">
        <v>444300</v>
      </c>
      <c r="M2031" t="s">
        <v>1690</v>
      </c>
    </row>
    <row r="2032" spans="12:13">
      <c r="L2032" s="66">
        <v>444310</v>
      </c>
      <c r="M2032" t="s">
        <v>1690</v>
      </c>
    </row>
    <row r="2033" spans="12:13">
      <c r="L2033" s="66">
        <v>444311</v>
      </c>
      <c r="M2033" t="s">
        <v>1690</v>
      </c>
    </row>
    <row r="2034" spans="12:13">
      <c r="L2034" s="66">
        <v>450000</v>
      </c>
      <c r="M2034" t="s">
        <v>1691</v>
      </c>
    </row>
    <row r="2035" spans="12:13">
      <c r="L2035" s="66">
        <v>451000</v>
      </c>
      <c r="M2035" t="s">
        <v>1692</v>
      </c>
    </row>
    <row r="2036" spans="12:13">
      <c r="L2036" s="66">
        <v>451100</v>
      </c>
      <c r="M2036" t="s">
        <v>1693</v>
      </c>
    </row>
    <row r="2037" spans="12:13">
      <c r="L2037" s="66">
        <v>451110</v>
      </c>
      <c r="M2037" t="s">
        <v>1694</v>
      </c>
    </row>
    <row r="2038" spans="12:13">
      <c r="L2038" s="66">
        <v>451111</v>
      </c>
      <c r="M2038" t="s">
        <v>1694</v>
      </c>
    </row>
    <row r="2039" spans="12:13">
      <c r="L2039" s="66">
        <v>451120</v>
      </c>
      <c r="M2039" t="s">
        <v>1695</v>
      </c>
    </row>
    <row r="2040" spans="12:13">
      <c r="L2040" s="66">
        <v>451121</v>
      </c>
      <c r="M2040" t="s">
        <v>1696</v>
      </c>
    </row>
    <row r="2041" spans="12:13">
      <c r="L2041" s="66">
        <v>451122</v>
      </c>
      <c r="M2041" t="s">
        <v>1697</v>
      </c>
    </row>
    <row r="2042" spans="12:13">
      <c r="L2042" s="66">
        <v>451129</v>
      </c>
      <c r="M2042" t="s">
        <v>1698</v>
      </c>
    </row>
    <row r="2043" spans="12:13">
      <c r="L2043" s="66">
        <v>451130</v>
      </c>
      <c r="M2043" t="s">
        <v>1699</v>
      </c>
    </row>
    <row r="2044" spans="12:13">
      <c r="L2044" s="66">
        <v>451131</v>
      </c>
      <c r="M2044" t="s">
        <v>1699</v>
      </c>
    </row>
    <row r="2045" spans="12:13">
      <c r="L2045" s="66">
        <v>451140</v>
      </c>
      <c r="M2045" t="s">
        <v>1700</v>
      </c>
    </row>
    <row r="2046" spans="12:13">
      <c r="L2046" s="66">
        <v>451141</v>
      </c>
      <c r="M2046" t="s">
        <v>1700</v>
      </c>
    </row>
    <row r="2047" spans="12:13">
      <c r="L2047" s="66">
        <v>451190</v>
      </c>
      <c r="M2047" t="s">
        <v>1701</v>
      </c>
    </row>
    <row r="2048" spans="12:13">
      <c r="L2048" s="66">
        <v>451191</v>
      </c>
      <c r="M2048" t="s">
        <v>1701</v>
      </c>
    </row>
    <row r="2049" spans="12:13">
      <c r="L2049" s="66">
        <v>451200</v>
      </c>
      <c r="M2049" t="s">
        <v>1702</v>
      </c>
    </row>
    <row r="2050" spans="12:13">
      <c r="L2050" s="66">
        <v>451210</v>
      </c>
      <c r="M2050" t="s">
        <v>1703</v>
      </c>
    </row>
    <row r="2051" spans="12:13">
      <c r="L2051" s="66">
        <v>451211</v>
      </c>
      <c r="M2051" t="s">
        <v>1703</v>
      </c>
    </row>
    <row r="2052" spans="12:13">
      <c r="L2052" s="66">
        <v>451220</v>
      </c>
      <c r="M2052" t="s">
        <v>1704</v>
      </c>
    </row>
    <row r="2053" spans="12:13">
      <c r="L2053" s="66">
        <v>451221</v>
      </c>
      <c r="M2053" t="s">
        <v>1705</v>
      </c>
    </row>
    <row r="2054" spans="12:13">
      <c r="L2054" s="66">
        <v>451230</v>
      </c>
      <c r="M2054" t="s">
        <v>1706</v>
      </c>
    </row>
    <row r="2055" spans="12:13">
      <c r="L2055" s="66">
        <v>451231</v>
      </c>
      <c r="M2055" t="s">
        <v>1706</v>
      </c>
    </row>
    <row r="2056" spans="12:13">
      <c r="L2056" s="66">
        <v>451240</v>
      </c>
      <c r="M2056" t="s">
        <v>1707</v>
      </c>
    </row>
    <row r="2057" spans="12:13">
      <c r="L2057" s="66">
        <v>451241</v>
      </c>
      <c r="M2057" t="s">
        <v>1707</v>
      </c>
    </row>
    <row r="2058" spans="12:13">
      <c r="L2058" s="66">
        <v>451290</v>
      </c>
      <c r="M2058" t="s">
        <v>1708</v>
      </c>
    </row>
    <row r="2059" spans="12:13">
      <c r="L2059" s="66">
        <v>451291</v>
      </c>
      <c r="M2059" t="s">
        <v>1708</v>
      </c>
    </row>
    <row r="2060" spans="12:13">
      <c r="L2060" s="66">
        <v>452000</v>
      </c>
      <c r="M2060" t="s">
        <v>1709</v>
      </c>
    </row>
    <row r="2061" spans="12:13">
      <c r="L2061" s="66">
        <v>452100</v>
      </c>
      <c r="M2061" t="s">
        <v>1710</v>
      </c>
    </row>
    <row r="2062" spans="12:13">
      <c r="L2062" s="66">
        <v>452110</v>
      </c>
      <c r="M2062" t="s">
        <v>1711</v>
      </c>
    </row>
    <row r="2063" spans="12:13">
      <c r="L2063" s="66">
        <v>452111</v>
      </c>
      <c r="M2063" t="s">
        <v>1711</v>
      </c>
    </row>
    <row r="2064" spans="12:13">
      <c r="L2064" s="66">
        <v>452190</v>
      </c>
      <c r="M2064" t="s">
        <v>1712</v>
      </c>
    </row>
    <row r="2065" spans="12:13">
      <c r="L2065" s="66">
        <v>452191</v>
      </c>
      <c r="M2065" t="s">
        <v>1712</v>
      </c>
    </row>
    <row r="2066" spans="12:13">
      <c r="L2066" s="66">
        <v>452200</v>
      </c>
      <c r="M2066" t="s">
        <v>1713</v>
      </c>
    </row>
    <row r="2067" spans="12:13">
      <c r="L2067" s="66">
        <v>452210</v>
      </c>
      <c r="M2067" t="s">
        <v>1714</v>
      </c>
    </row>
    <row r="2068" spans="12:13">
      <c r="L2068" s="66">
        <v>452211</v>
      </c>
      <c r="M2068" t="s">
        <v>1714</v>
      </c>
    </row>
    <row r="2069" spans="12:13">
      <c r="L2069" s="66">
        <v>452290</v>
      </c>
      <c r="M2069" t="s">
        <v>1715</v>
      </c>
    </row>
    <row r="2070" spans="12:13">
      <c r="L2070" s="66">
        <v>452291</v>
      </c>
      <c r="M2070" t="s">
        <v>1715</v>
      </c>
    </row>
    <row r="2071" spans="12:13">
      <c r="L2071" s="66">
        <v>453000</v>
      </c>
      <c r="M2071" t="s">
        <v>1716</v>
      </c>
    </row>
    <row r="2072" spans="12:13">
      <c r="L2072" s="66">
        <v>453100</v>
      </c>
      <c r="M2072" t="s">
        <v>1717</v>
      </c>
    </row>
    <row r="2073" spans="12:13">
      <c r="L2073" s="66">
        <v>453110</v>
      </c>
      <c r="M2073" t="s">
        <v>1718</v>
      </c>
    </row>
    <row r="2074" spans="12:13">
      <c r="L2074" s="66">
        <v>453111</v>
      </c>
      <c r="M2074" t="s">
        <v>1719</v>
      </c>
    </row>
    <row r="2075" spans="12:13">
      <c r="L2075" s="66">
        <v>453190</v>
      </c>
      <c r="M2075" t="s">
        <v>1720</v>
      </c>
    </row>
    <row r="2076" spans="12:13">
      <c r="L2076" s="66">
        <v>453191</v>
      </c>
      <c r="M2076" t="s">
        <v>1720</v>
      </c>
    </row>
    <row r="2077" spans="12:13">
      <c r="L2077" s="66">
        <v>453200</v>
      </c>
      <c r="M2077" t="s">
        <v>1721</v>
      </c>
    </row>
    <row r="2078" spans="12:13">
      <c r="L2078" s="66">
        <v>453210</v>
      </c>
      <c r="M2078" t="s">
        <v>1722</v>
      </c>
    </row>
    <row r="2079" spans="12:13">
      <c r="L2079" s="66">
        <v>453211</v>
      </c>
      <c r="M2079" t="s">
        <v>1722</v>
      </c>
    </row>
    <row r="2080" spans="12:13">
      <c r="L2080" s="66">
        <v>453290</v>
      </c>
      <c r="M2080" t="s">
        <v>1723</v>
      </c>
    </row>
    <row r="2081" spans="12:13">
      <c r="L2081" s="66">
        <v>453291</v>
      </c>
      <c r="M2081" t="s">
        <v>1723</v>
      </c>
    </row>
    <row r="2082" spans="12:13">
      <c r="L2082" s="66">
        <v>454000</v>
      </c>
      <c r="M2082" t="s">
        <v>1724</v>
      </c>
    </row>
    <row r="2083" spans="12:13">
      <c r="L2083" s="66">
        <v>454100</v>
      </c>
      <c r="M2083" t="s">
        <v>1725</v>
      </c>
    </row>
    <row r="2084" spans="12:13">
      <c r="L2084" s="66">
        <v>454110</v>
      </c>
      <c r="M2084" t="s">
        <v>1725</v>
      </c>
    </row>
    <row r="2085" spans="12:13">
      <c r="L2085" s="66">
        <v>454111</v>
      </c>
      <c r="M2085" t="s">
        <v>1725</v>
      </c>
    </row>
    <row r="2086" spans="12:13">
      <c r="L2086" s="66">
        <v>454200</v>
      </c>
      <c r="M2086" t="s">
        <v>1726</v>
      </c>
    </row>
    <row r="2087" spans="12:13">
      <c r="L2087" s="66">
        <v>454210</v>
      </c>
      <c r="M2087" t="s">
        <v>1726</v>
      </c>
    </row>
    <row r="2088" spans="12:13">
      <c r="L2088" s="66">
        <v>454211</v>
      </c>
      <c r="M2088" t="s">
        <v>1726</v>
      </c>
    </row>
    <row r="2089" spans="12:13">
      <c r="L2089" s="66">
        <v>460000</v>
      </c>
      <c r="M2089" t="s">
        <v>1727</v>
      </c>
    </row>
    <row r="2090" spans="12:13">
      <c r="L2090" s="66">
        <v>461000</v>
      </c>
      <c r="M2090" t="s">
        <v>1728</v>
      </c>
    </row>
    <row r="2091" spans="12:13">
      <c r="L2091" s="66">
        <v>461100</v>
      </c>
      <c r="M2091" t="s">
        <v>1729</v>
      </c>
    </row>
    <row r="2092" spans="12:13">
      <c r="L2092" s="66">
        <v>461110</v>
      </c>
      <c r="M2092" t="s">
        <v>1729</v>
      </c>
    </row>
    <row r="2093" spans="12:13">
      <c r="L2093" s="66">
        <v>461111</v>
      </c>
      <c r="M2093" t="s">
        <v>1729</v>
      </c>
    </row>
    <row r="2094" spans="12:13">
      <c r="L2094" s="66">
        <v>461200</v>
      </c>
      <c r="M2094" t="s">
        <v>1730</v>
      </c>
    </row>
    <row r="2095" spans="12:13">
      <c r="L2095" s="66">
        <v>461210</v>
      </c>
      <c r="M2095" t="s">
        <v>1730</v>
      </c>
    </row>
    <row r="2096" spans="12:13">
      <c r="L2096" s="66">
        <v>461211</v>
      </c>
      <c r="M2096" t="s">
        <v>1730</v>
      </c>
    </row>
    <row r="2097" spans="12:13">
      <c r="L2097" s="66">
        <v>462000</v>
      </c>
      <c r="M2097" t="s">
        <v>1731</v>
      </c>
    </row>
    <row r="2098" spans="12:13">
      <c r="L2098" s="66">
        <v>462100</v>
      </c>
      <c r="M2098" t="s">
        <v>1732</v>
      </c>
    </row>
    <row r="2099" spans="12:13">
      <c r="L2099" s="66">
        <v>462110</v>
      </c>
      <c r="M2099" t="s">
        <v>1733</v>
      </c>
    </row>
    <row r="2100" spans="12:13">
      <c r="L2100" s="66">
        <v>462111</v>
      </c>
      <c r="M2100" t="s">
        <v>1733</v>
      </c>
    </row>
    <row r="2101" spans="12:13">
      <c r="L2101" s="66">
        <v>462120</v>
      </c>
      <c r="M2101" t="s">
        <v>1734</v>
      </c>
    </row>
    <row r="2102" spans="12:13">
      <c r="L2102" s="66">
        <v>462121</v>
      </c>
      <c r="M2102" t="s">
        <v>1734</v>
      </c>
    </row>
    <row r="2103" spans="12:13">
      <c r="L2103" s="66">
        <v>462190</v>
      </c>
      <c r="M2103" t="s">
        <v>1735</v>
      </c>
    </row>
    <row r="2104" spans="12:13">
      <c r="L2104" s="66">
        <v>462191</v>
      </c>
      <c r="M2104" t="s">
        <v>1736</v>
      </c>
    </row>
    <row r="2105" spans="12:13">
      <c r="L2105" s="66">
        <v>462200</v>
      </c>
      <c r="M2105" t="s">
        <v>1737</v>
      </c>
    </row>
    <row r="2106" spans="12:13">
      <c r="L2106" s="66">
        <v>462210</v>
      </c>
      <c r="M2106" t="s">
        <v>1738</v>
      </c>
    </row>
    <row r="2107" spans="12:13">
      <c r="L2107" s="66">
        <v>462211</v>
      </c>
      <c r="M2107" t="s">
        <v>1738</v>
      </c>
    </row>
    <row r="2108" spans="12:13">
      <c r="L2108" s="66">
        <v>462290</v>
      </c>
      <c r="M2108" t="s">
        <v>1739</v>
      </c>
    </row>
    <row r="2109" spans="12:13">
      <c r="L2109" s="66">
        <v>462291</v>
      </c>
      <c r="M2109" t="s">
        <v>1739</v>
      </c>
    </row>
    <row r="2110" spans="12:13">
      <c r="L2110" s="66">
        <v>463000</v>
      </c>
      <c r="M2110" t="s">
        <v>1740</v>
      </c>
    </row>
    <row r="2111" spans="12:13">
      <c r="L2111" s="66">
        <v>463100</v>
      </c>
      <c r="M2111" t="s">
        <v>1741</v>
      </c>
    </row>
    <row r="2112" spans="12:13">
      <c r="L2112" s="66">
        <v>463110</v>
      </c>
      <c r="M2112" t="s">
        <v>1742</v>
      </c>
    </row>
    <row r="2113" spans="12:13">
      <c r="L2113" s="66">
        <v>463111</v>
      </c>
      <c r="M2113" t="s">
        <v>1742</v>
      </c>
    </row>
    <row r="2114" spans="12:13">
      <c r="L2114" s="66">
        <v>463120</v>
      </c>
      <c r="M2114" t="s">
        <v>1743</v>
      </c>
    </row>
    <row r="2115" spans="12:13">
      <c r="L2115" s="66">
        <v>463121</v>
      </c>
      <c r="M2115" t="s">
        <v>1744</v>
      </c>
    </row>
    <row r="2116" spans="12:13">
      <c r="L2116" s="66">
        <v>463122</v>
      </c>
      <c r="M2116" t="s">
        <v>1745</v>
      </c>
    </row>
    <row r="2117" spans="12:13">
      <c r="L2117" s="66">
        <v>463130</v>
      </c>
      <c r="M2117" t="s">
        <v>1746</v>
      </c>
    </row>
    <row r="2118" spans="12:13">
      <c r="L2118" s="66">
        <v>463131</v>
      </c>
      <c r="M2118" t="s">
        <v>1746</v>
      </c>
    </row>
    <row r="2119" spans="12:13">
      <c r="L2119" s="66">
        <v>463132</v>
      </c>
      <c r="M2119" t="s">
        <v>1747</v>
      </c>
    </row>
    <row r="2120" spans="12:13">
      <c r="L2120" s="66">
        <v>463133</v>
      </c>
      <c r="M2120" t="s">
        <v>1748</v>
      </c>
    </row>
    <row r="2121" spans="12:13">
      <c r="L2121" s="66">
        <v>463140</v>
      </c>
      <c r="M2121" t="s">
        <v>1749</v>
      </c>
    </row>
    <row r="2122" spans="12:13">
      <c r="L2122" s="66">
        <v>463141</v>
      </c>
      <c r="M2122" t="s">
        <v>1749</v>
      </c>
    </row>
    <row r="2123" spans="12:13">
      <c r="L2123" s="66">
        <v>463142</v>
      </c>
      <c r="M2123" t="s">
        <v>1750</v>
      </c>
    </row>
    <row r="2124" spans="12:13">
      <c r="L2124" s="66">
        <v>463143</v>
      </c>
      <c r="M2124" t="s">
        <v>1751</v>
      </c>
    </row>
    <row r="2125" spans="12:13">
      <c r="L2125" s="66">
        <v>463200</v>
      </c>
      <c r="M2125" t="s">
        <v>1752</v>
      </c>
    </row>
    <row r="2126" spans="12:13">
      <c r="L2126" s="66">
        <v>463210</v>
      </c>
      <c r="M2126" t="s">
        <v>1753</v>
      </c>
    </row>
    <row r="2127" spans="12:13">
      <c r="L2127" s="66">
        <v>463211</v>
      </c>
      <c r="M2127" t="s">
        <v>1753</v>
      </c>
    </row>
    <row r="2128" spans="12:13">
      <c r="L2128" s="66">
        <v>463220</v>
      </c>
      <c r="M2128" t="s">
        <v>1754</v>
      </c>
    </row>
    <row r="2129" spans="12:13">
      <c r="L2129" s="66">
        <v>463221</v>
      </c>
      <c r="M2129" t="s">
        <v>1755</v>
      </c>
    </row>
    <row r="2130" spans="12:13">
      <c r="L2130" s="66">
        <v>463222</v>
      </c>
      <c r="M2130" t="s">
        <v>1756</v>
      </c>
    </row>
    <row r="2131" spans="12:13">
      <c r="L2131" s="66">
        <v>463230</v>
      </c>
      <c r="M2131" t="s">
        <v>1757</v>
      </c>
    </row>
    <row r="2132" spans="12:13">
      <c r="L2132" s="66">
        <v>463231</v>
      </c>
      <c r="M2132" t="s">
        <v>1757</v>
      </c>
    </row>
    <row r="2133" spans="12:13">
      <c r="L2133" s="66">
        <v>463240</v>
      </c>
      <c r="M2133" t="s">
        <v>1758</v>
      </c>
    </row>
    <row r="2134" spans="12:13">
      <c r="L2134" s="66">
        <v>463241</v>
      </c>
      <c r="M2134" t="s">
        <v>1758</v>
      </c>
    </row>
    <row r="2135" spans="12:13">
      <c r="L2135" s="66">
        <v>464000</v>
      </c>
      <c r="M2135" t="s">
        <v>1759</v>
      </c>
    </row>
    <row r="2136" spans="12:13">
      <c r="L2136" s="66">
        <v>464100</v>
      </c>
      <c r="M2136" t="s">
        <v>1760</v>
      </c>
    </row>
    <row r="2137" spans="12:13">
      <c r="L2137" s="66">
        <v>464110</v>
      </c>
      <c r="M2137" t="s">
        <v>1761</v>
      </c>
    </row>
    <row r="2138" spans="12:13">
      <c r="L2138" s="66">
        <v>464111</v>
      </c>
      <c r="M2138" t="s">
        <v>1761</v>
      </c>
    </row>
    <row r="2139" spans="12:13">
      <c r="L2139" s="66">
        <v>464112</v>
      </c>
      <c r="M2139" t="s">
        <v>1762</v>
      </c>
    </row>
    <row r="2140" spans="12:13">
      <c r="L2140" s="66">
        <v>464113</v>
      </c>
      <c r="M2140" t="s">
        <v>1763</v>
      </c>
    </row>
    <row r="2141" spans="12:13">
      <c r="L2141" s="66">
        <v>464120</v>
      </c>
      <c r="M2141" t="s">
        <v>1764</v>
      </c>
    </row>
    <row r="2142" spans="12:13">
      <c r="L2142" s="66">
        <v>464121</v>
      </c>
      <c r="M2142" t="s">
        <v>1765</v>
      </c>
    </row>
    <row r="2143" spans="12:13">
      <c r="L2143" s="66">
        <v>464130</v>
      </c>
      <c r="M2143" t="s">
        <v>1766</v>
      </c>
    </row>
    <row r="2144" spans="12:13">
      <c r="L2144" s="66">
        <v>464131</v>
      </c>
      <c r="M2144" t="s">
        <v>1767</v>
      </c>
    </row>
    <row r="2145" spans="12:13">
      <c r="L2145" s="66">
        <v>464140</v>
      </c>
      <c r="M2145" t="s">
        <v>1768</v>
      </c>
    </row>
    <row r="2146" spans="12:13">
      <c r="L2146" s="66">
        <v>464141</v>
      </c>
      <c r="M2146" t="s">
        <v>1769</v>
      </c>
    </row>
    <row r="2147" spans="12:13">
      <c r="L2147" s="66">
        <v>464150</v>
      </c>
      <c r="M2147" t="s">
        <v>1770</v>
      </c>
    </row>
    <row r="2148" spans="12:13">
      <c r="L2148" s="66">
        <v>464151</v>
      </c>
      <c r="M2148" t="s">
        <v>1770</v>
      </c>
    </row>
    <row r="2149" spans="12:13">
      <c r="L2149" s="66">
        <v>464200</v>
      </c>
      <c r="M2149" t="s">
        <v>1771</v>
      </c>
    </row>
    <row r="2150" spans="12:13">
      <c r="L2150" s="66">
        <v>464210</v>
      </c>
      <c r="M2150" t="s">
        <v>1772</v>
      </c>
    </row>
    <row r="2151" spans="12:13">
      <c r="L2151" s="66">
        <v>464211</v>
      </c>
      <c r="M2151" t="s">
        <v>1772</v>
      </c>
    </row>
    <row r="2152" spans="12:13">
      <c r="L2152" s="66">
        <v>464212</v>
      </c>
      <c r="M2152" t="s">
        <v>1773</v>
      </c>
    </row>
    <row r="2153" spans="12:13">
      <c r="L2153" s="66">
        <v>464213</v>
      </c>
      <c r="M2153" t="s">
        <v>1774</v>
      </c>
    </row>
    <row r="2154" spans="12:13">
      <c r="L2154" s="66">
        <v>464220</v>
      </c>
      <c r="M2154" t="s">
        <v>1775</v>
      </c>
    </row>
    <row r="2155" spans="12:13">
      <c r="L2155" s="66">
        <v>464221</v>
      </c>
      <c r="M2155" t="s">
        <v>1775</v>
      </c>
    </row>
    <row r="2156" spans="12:13">
      <c r="L2156" s="66">
        <v>464250</v>
      </c>
      <c r="M2156" t="s">
        <v>1776</v>
      </c>
    </row>
    <row r="2157" spans="12:13">
      <c r="L2157" s="66">
        <v>464251</v>
      </c>
      <c r="M2157" t="s">
        <v>1776</v>
      </c>
    </row>
    <row r="2158" spans="12:13">
      <c r="L2158" s="66">
        <v>465000</v>
      </c>
      <c r="M2158" t="s">
        <v>1777</v>
      </c>
    </row>
    <row r="2159" spans="12:13">
      <c r="L2159" s="66">
        <v>465100</v>
      </c>
      <c r="M2159" t="s">
        <v>1778</v>
      </c>
    </row>
    <row r="2160" spans="12:13">
      <c r="L2160" s="66">
        <v>465110</v>
      </c>
      <c r="M2160" t="s">
        <v>1778</v>
      </c>
    </row>
    <row r="2161" spans="12:13">
      <c r="L2161" s="66">
        <v>465111</v>
      </c>
      <c r="M2161" t="s">
        <v>1778</v>
      </c>
    </row>
    <row r="2162" spans="12:13">
      <c r="L2162" s="66">
        <v>465112</v>
      </c>
      <c r="M2162" t="s">
        <v>1779</v>
      </c>
    </row>
    <row r="2163" spans="12:13">
      <c r="L2163" s="66">
        <v>465200</v>
      </c>
      <c r="M2163" t="s">
        <v>1780</v>
      </c>
    </row>
    <row r="2164" spans="12:13">
      <c r="L2164" s="66">
        <v>465210</v>
      </c>
      <c r="M2164" t="s">
        <v>1780</v>
      </c>
    </row>
    <row r="2165" spans="12:13">
      <c r="L2165" s="66">
        <v>465211</v>
      </c>
      <c r="M2165" t="s">
        <v>1780</v>
      </c>
    </row>
    <row r="2166" spans="12:13">
      <c r="L2166" s="66">
        <v>470000</v>
      </c>
      <c r="M2166" t="s">
        <v>1781</v>
      </c>
    </row>
    <row r="2167" spans="12:13">
      <c r="L2167" s="66">
        <v>471000</v>
      </c>
      <c r="M2167" t="s">
        <v>1782</v>
      </c>
    </row>
    <row r="2168" spans="12:13">
      <c r="L2168" s="66">
        <v>471100</v>
      </c>
      <c r="M2168" t="s">
        <v>1783</v>
      </c>
    </row>
    <row r="2169" spans="12:13">
      <c r="L2169" s="66">
        <v>471110</v>
      </c>
      <c r="M2169" t="s">
        <v>1784</v>
      </c>
    </row>
    <row r="2170" spans="12:13">
      <c r="L2170" s="66">
        <v>471111</v>
      </c>
      <c r="M2170" t="s">
        <v>1785</v>
      </c>
    </row>
    <row r="2171" spans="12:13">
      <c r="L2171" s="66">
        <v>471112</v>
      </c>
      <c r="M2171" t="s">
        <v>1786</v>
      </c>
    </row>
    <row r="2172" spans="12:13">
      <c r="L2172" s="66">
        <v>471113</v>
      </c>
      <c r="M2172" t="s">
        <v>1787</v>
      </c>
    </row>
    <row r="2173" spans="12:13">
      <c r="L2173" s="66">
        <v>471114</v>
      </c>
      <c r="M2173" t="s">
        <v>1788</v>
      </c>
    </row>
    <row r="2174" spans="12:13">
      <c r="L2174" s="66">
        <v>471120</v>
      </c>
      <c r="M2174" t="s">
        <v>1789</v>
      </c>
    </row>
    <row r="2175" spans="12:13">
      <c r="L2175" s="66">
        <v>471121</v>
      </c>
      <c r="M2175" t="s">
        <v>1790</v>
      </c>
    </row>
    <row r="2176" spans="12:13">
      <c r="L2176" s="66">
        <v>471122</v>
      </c>
      <c r="M2176" t="s">
        <v>1791</v>
      </c>
    </row>
    <row r="2177" spans="12:13">
      <c r="L2177" s="66">
        <v>471123</v>
      </c>
      <c r="M2177" t="s">
        <v>1792</v>
      </c>
    </row>
    <row r="2178" spans="12:13">
      <c r="L2178" s="66">
        <v>471124</v>
      </c>
      <c r="M2178" t="s">
        <v>1793</v>
      </c>
    </row>
    <row r="2179" spans="12:13">
      <c r="L2179" s="66">
        <v>471125</v>
      </c>
      <c r="M2179" t="s">
        <v>1794</v>
      </c>
    </row>
    <row r="2180" spans="12:13">
      <c r="L2180" s="66">
        <v>471129</v>
      </c>
      <c r="M2180" t="s">
        <v>1795</v>
      </c>
    </row>
    <row r="2181" spans="12:13">
      <c r="L2181" s="66">
        <v>471130</v>
      </c>
      <c r="M2181" t="s">
        <v>1796</v>
      </c>
    </row>
    <row r="2182" spans="12:13">
      <c r="L2182" s="66">
        <v>471131</v>
      </c>
      <c r="M2182" t="s">
        <v>1797</v>
      </c>
    </row>
    <row r="2183" spans="12:13">
      <c r="L2183" s="66">
        <v>471132</v>
      </c>
      <c r="M2183" t="s">
        <v>1798</v>
      </c>
    </row>
    <row r="2184" spans="12:13">
      <c r="L2184" s="66">
        <v>471133</v>
      </c>
      <c r="M2184" t="s">
        <v>1799</v>
      </c>
    </row>
    <row r="2185" spans="12:13">
      <c r="L2185" s="66">
        <v>471134</v>
      </c>
      <c r="M2185" t="s">
        <v>1800</v>
      </c>
    </row>
    <row r="2186" spans="12:13">
      <c r="L2186" s="66">
        <v>471135</v>
      </c>
      <c r="M2186" t="s">
        <v>1801</v>
      </c>
    </row>
    <row r="2187" spans="12:13">
      <c r="L2187" s="66">
        <v>471136</v>
      </c>
      <c r="M2187" t="s">
        <v>1802</v>
      </c>
    </row>
    <row r="2188" spans="12:13">
      <c r="L2188" s="66">
        <v>471137</v>
      </c>
      <c r="M2188" t="s">
        <v>1803</v>
      </c>
    </row>
    <row r="2189" spans="12:13">
      <c r="L2189" s="66">
        <v>471139</v>
      </c>
      <c r="M2189" t="s">
        <v>1804</v>
      </c>
    </row>
    <row r="2190" spans="12:13">
      <c r="L2190" s="66">
        <v>471140</v>
      </c>
      <c r="M2190" t="s">
        <v>1805</v>
      </c>
    </row>
    <row r="2191" spans="12:13">
      <c r="L2191" s="66">
        <v>471141</v>
      </c>
      <c r="M2191" t="s">
        <v>1806</v>
      </c>
    </row>
    <row r="2192" spans="12:13">
      <c r="L2192" s="66">
        <v>471142</v>
      </c>
      <c r="M2192" t="s">
        <v>1807</v>
      </c>
    </row>
    <row r="2193" spans="12:13">
      <c r="L2193" s="66">
        <v>471143</v>
      </c>
      <c r="M2193" t="s">
        <v>1808</v>
      </c>
    </row>
    <row r="2194" spans="12:13">
      <c r="L2194" s="66">
        <v>471144</v>
      </c>
      <c r="M2194" t="s">
        <v>1809</v>
      </c>
    </row>
    <row r="2195" spans="12:13">
      <c r="L2195" s="66">
        <v>471149</v>
      </c>
      <c r="M2195" t="s">
        <v>1810</v>
      </c>
    </row>
    <row r="2196" spans="12:13">
      <c r="L2196" s="66">
        <v>471190</v>
      </c>
      <c r="M2196" t="s">
        <v>1811</v>
      </c>
    </row>
    <row r="2197" spans="12:13">
      <c r="L2197" s="66">
        <v>471191</v>
      </c>
      <c r="M2197" t="s">
        <v>1812</v>
      </c>
    </row>
    <row r="2198" spans="12:13">
      <c r="L2198" s="66">
        <v>471192</v>
      </c>
      <c r="M2198" t="s">
        <v>1813</v>
      </c>
    </row>
    <row r="2199" spans="12:13">
      <c r="L2199" s="66">
        <v>471193</v>
      </c>
      <c r="M2199" t="s">
        <v>1814</v>
      </c>
    </row>
    <row r="2200" spans="12:13">
      <c r="L2200" s="66">
        <v>471194</v>
      </c>
      <c r="M2200" t="s">
        <v>1815</v>
      </c>
    </row>
    <row r="2201" spans="12:13">
      <c r="L2201" s="66">
        <v>471195</v>
      </c>
      <c r="M2201" t="s">
        <v>1816</v>
      </c>
    </row>
    <row r="2202" spans="12:13">
      <c r="L2202" s="66">
        <v>471199</v>
      </c>
      <c r="M2202" t="s">
        <v>1817</v>
      </c>
    </row>
    <row r="2203" spans="12:13">
      <c r="L2203" s="66">
        <v>471200</v>
      </c>
      <c r="M2203" t="s">
        <v>1818</v>
      </c>
    </row>
    <row r="2204" spans="12:13">
      <c r="L2204" s="66">
        <v>471210</v>
      </c>
      <c r="M2204" t="s">
        <v>1819</v>
      </c>
    </row>
    <row r="2205" spans="12:13">
      <c r="L2205" s="66">
        <v>471211</v>
      </c>
      <c r="M2205" t="s">
        <v>1820</v>
      </c>
    </row>
    <row r="2206" spans="12:13">
      <c r="L2206" s="66">
        <v>471212</v>
      </c>
      <c r="M2206" t="s">
        <v>1821</v>
      </c>
    </row>
    <row r="2207" spans="12:13">
      <c r="L2207" s="66">
        <v>471213</v>
      </c>
      <c r="M2207" t="s">
        <v>1822</v>
      </c>
    </row>
    <row r="2208" spans="12:13">
      <c r="L2208" s="66">
        <v>471214</v>
      </c>
      <c r="M2208" t="s">
        <v>1823</v>
      </c>
    </row>
    <row r="2209" spans="12:13">
      <c r="L2209" s="66">
        <v>471215</v>
      </c>
      <c r="M2209" t="s">
        <v>1824</v>
      </c>
    </row>
    <row r="2210" spans="12:13">
      <c r="L2210" s="66">
        <v>471216</v>
      </c>
      <c r="M2210" t="s">
        <v>1825</v>
      </c>
    </row>
    <row r="2211" spans="12:13">
      <c r="L2211" s="66">
        <v>471217</v>
      </c>
      <c r="M2211" t="s">
        <v>1826</v>
      </c>
    </row>
    <row r="2212" spans="12:13">
      <c r="L2212" s="66">
        <v>471219</v>
      </c>
      <c r="M2212" t="s">
        <v>1827</v>
      </c>
    </row>
    <row r="2213" spans="12:13">
      <c r="L2213" s="66">
        <v>471220</v>
      </c>
      <c r="M2213" t="s">
        <v>1828</v>
      </c>
    </row>
    <row r="2214" spans="12:13">
      <c r="L2214" s="66">
        <v>471221</v>
      </c>
      <c r="M2214" t="s">
        <v>1509</v>
      </c>
    </row>
    <row r="2215" spans="12:13">
      <c r="L2215" s="66">
        <v>471222</v>
      </c>
      <c r="M2215" t="s">
        <v>1829</v>
      </c>
    </row>
    <row r="2216" spans="12:13">
      <c r="L2216" s="66">
        <v>471223</v>
      </c>
      <c r="M2216" t="s">
        <v>1830</v>
      </c>
    </row>
    <row r="2217" spans="12:13">
      <c r="L2217" s="66">
        <v>471224</v>
      </c>
      <c r="M2217" t="s">
        <v>1831</v>
      </c>
    </row>
    <row r="2218" spans="12:13">
      <c r="L2218" s="66">
        <v>471229</v>
      </c>
      <c r="M2218" t="s">
        <v>1832</v>
      </c>
    </row>
    <row r="2219" spans="12:13">
      <c r="L2219" s="66">
        <v>471230</v>
      </c>
      <c r="M2219" t="s">
        <v>1833</v>
      </c>
    </row>
    <row r="2220" spans="12:13">
      <c r="L2220" s="66">
        <v>471231</v>
      </c>
      <c r="M2220" t="s">
        <v>1834</v>
      </c>
    </row>
    <row r="2221" spans="12:13">
      <c r="L2221" s="66">
        <v>471232</v>
      </c>
      <c r="M2221" t="s">
        <v>1835</v>
      </c>
    </row>
    <row r="2222" spans="12:13">
      <c r="L2222" s="66">
        <v>471240</v>
      </c>
      <c r="M2222" t="s">
        <v>1836</v>
      </c>
    </row>
    <row r="2223" spans="12:13">
      <c r="L2223" s="66">
        <v>471241</v>
      </c>
      <c r="M2223" t="s">
        <v>1837</v>
      </c>
    </row>
    <row r="2224" spans="12:13">
      <c r="L2224" s="66">
        <v>471242</v>
      </c>
      <c r="M2224" t="s">
        <v>1838</v>
      </c>
    </row>
    <row r="2225" spans="12:13">
      <c r="L2225" s="66">
        <v>471243</v>
      </c>
      <c r="M2225" t="s">
        <v>1839</v>
      </c>
    </row>
    <row r="2226" spans="12:13">
      <c r="L2226" s="66">
        <v>471250</v>
      </c>
      <c r="M2226" t="s">
        <v>1840</v>
      </c>
    </row>
    <row r="2227" spans="12:13">
      <c r="L2227" s="66">
        <v>471251</v>
      </c>
      <c r="M2227" t="s">
        <v>1841</v>
      </c>
    </row>
    <row r="2228" spans="12:13">
      <c r="L2228" s="66">
        <v>471252</v>
      </c>
      <c r="M2228" t="s">
        <v>1842</v>
      </c>
    </row>
    <row r="2229" spans="12:13">
      <c r="L2229" s="66">
        <v>471253</v>
      </c>
      <c r="M2229" t="s">
        <v>1843</v>
      </c>
    </row>
    <row r="2230" spans="12:13">
      <c r="L2230" s="66">
        <v>471260</v>
      </c>
      <c r="M2230" t="s">
        <v>1844</v>
      </c>
    </row>
    <row r="2231" spans="12:13">
      <c r="L2231" s="66">
        <v>471261</v>
      </c>
      <c r="M2231" t="s">
        <v>1845</v>
      </c>
    </row>
    <row r="2232" spans="12:13">
      <c r="L2232" s="66">
        <v>471262</v>
      </c>
      <c r="M2232" t="s">
        <v>1846</v>
      </c>
    </row>
    <row r="2233" spans="12:13">
      <c r="L2233" s="66">
        <v>471263</v>
      </c>
      <c r="M2233" t="s">
        <v>1847</v>
      </c>
    </row>
    <row r="2234" spans="12:13">
      <c r="L2234" s="66">
        <v>471290</v>
      </c>
      <c r="M2234" t="s">
        <v>1848</v>
      </c>
    </row>
    <row r="2235" spans="12:13">
      <c r="L2235" s="66">
        <v>471291</v>
      </c>
      <c r="M2235" t="s">
        <v>1849</v>
      </c>
    </row>
    <row r="2236" spans="12:13">
      <c r="L2236" s="66">
        <v>471292</v>
      </c>
      <c r="M2236" t="s">
        <v>1816</v>
      </c>
    </row>
    <row r="2237" spans="12:13">
      <c r="L2237" s="66">
        <v>471299</v>
      </c>
      <c r="M2237" t="s">
        <v>1850</v>
      </c>
    </row>
    <row r="2238" spans="12:13">
      <c r="L2238" s="66">
        <v>471900</v>
      </c>
      <c r="M2238" t="s">
        <v>1851</v>
      </c>
    </row>
    <row r="2239" spans="12:13">
      <c r="L2239" s="66">
        <v>471910</v>
      </c>
      <c r="M2239" t="s">
        <v>1852</v>
      </c>
    </row>
    <row r="2240" spans="12:13">
      <c r="L2240" s="66">
        <v>471911</v>
      </c>
      <c r="M2240" t="s">
        <v>1852</v>
      </c>
    </row>
    <row r="2241" spans="12:13">
      <c r="L2241" s="66">
        <v>471912</v>
      </c>
      <c r="M2241" t="s">
        <v>1853</v>
      </c>
    </row>
    <row r="2242" spans="12:13">
      <c r="L2242" s="66">
        <v>471913</v>
      </c>
      <c r="M2242" t="s">
        <v>1854</v>
      </c>
    </row>
    <row r="2243" spans="12:13">
      <c r="L2243" s="66">
        <v>471914</v>
      </c>
      <c r="M2243" t="s">
        <v>1855</v>
      </c>
    </row>
    <row r="2244" spans="12:13">
      <c r="L2244" s="66">
        <v>471915</v>
      </c>
      <c r="M2244" t="s">
        <v>1856</v>
      </c>
    </row>
    <row r="2245" spans="12:13">
      <c r="L2245" s="66">
        <v>471920</v>
      </c>
      <c r="M2245" t="s">
        <v>1857</v>
      </c>
    </row>
    <row r="2246" spans="12:13">
      <c r="L2246" s="66">
        <v>471921</v>
      </c>
      <c r="M2246" t="s">
        <v>1857</v>
      </c>
    </row>
    <row r="2247" spans="12:13">
      <c r="L2247" s="66">
        <v>471922</v>
      </c>
      <c r="M2247" t="s">
        <v>1858</v>
      </c>
    </row>
    <row r="2248" spans="12:13">
      <c r="L2248" s="66">
        <v>471923</v>
      </c>
      <c r="M2248" t="s">
        <v>1859</v>
      </c>
    </row>
    <row r="2249" spans="12:13">
      <c r="L2249" s="66">
        <v>471930</v>
      </c>
      <c r="M2249" t="s">
        <v>1860</v>
      </c>
    </row>
    <row r="2250" spans="12:13">
      <c r="L2250" s="66">
        <v>471931</v>
      </c>
      <c r="M2250" t="s">
        <v>1861</v>
      </c>
    </row>
    <row r="2251" spans="12:13">
      <c r="L2251" s="66">
        <v>471940</v>
      </c>
      <c r="M2251" t="s">
        <v>1862</v>
      </c>
    </row>
    <row r="2252" spans="12:13">
      <c r="L2252" s="66">
        <v>471941</v>
      </c>
      <c r="M2252" t="s">
        <v>1863</v>
      </c>
    </row>
    <row r="2253" spans="12:13">
      <c r="L2253" s="66">
        <v>471942</v>
      </c>
      <c r="M2253" t="s">
        <v>1864</v>
      </c>
    </row>
    <row r="2254" spans="12:13">
      <c r="L2254" s="66">
        <v>471943</v>
      </c>
      <c r="M2254" t="s">
        <v>1865</v>
      </c>
    </row>
    <row r="2255" spans="12:13">
      <c r="L2255" s="66">
        <v>471950</v>
      </c>
      <c r="M2255" t="s">
        <v>1866</v>
      </c>
    </row>
    <row r="2256" spans="12:13">
      <c r="L2256" s="66">
        <v>471951</v>
      </c>
      <c r="M2256" t="s">
        <v>1866</v>
      </c>
    </row>
    <row r="2257" spans="12:13">
      <c r="L2257" s="66">
        <v>472000</v>
      </c>
      <c r="M2257" t="s">
        <v>1867</v>
      </c>
    </row>
    <row r="2258" spans="12:13">
      <c r="L2258" s="66">
        <v>472100</v>
      </c>
      <c r="M2258" t="s">
        <v>1868</v>
      </c>
    </row>
    <row r="2259" spans="12:13">
      <c r="L2259" s="66">
        <v>472110</v>
      </c>
      <c r="M2259" t="s">
        <v>1869</v>
      </c>
    </row>
    <row r="2260" spans="12:13">
      <c r="L2260" s="66">
        <v>472111</v>
      </c>
      <c r="M2260" t="s">
        <v>1869</v>
      </c>
    </row>
    <row r="2261" spans="12:13">
      <c r="L2261" s="66">
        <v>472120</v>
      </c>
      <c r="M2261" t="s">
        <v>1870</v>
      </c>
    </row>
    <row r="2262" spans="12:13">
      <c r="L2262" s="66">
        <v>472121</v>
      </c>
      <c r="M2262" t="s">
        <v>1870</v>
      </c>
    </row>
    <row r="2263" spans="12:13">
      <c r="L2263" s="66">
        <v>472130</v>
      </c>
      <c r="M2263" t="s">
        <v>1871</v>
      </c>
    </row>
    <row r="2264" spans="12:13">
      <c r="L2264" s="66">
        <v>472131</v>
      </c>
      <c r="M2264" t="s">
        <v>1872</v>
      </c>
    </row>
    <row r="2265" spans="12:13">
      <c r="L2265" s="66">
        <v>472132</v>
      </c>
      <c r="M2265" t="s">
        <v>1873</v>
      </c>
    </row>
    <row r="2266" spans="12:13">
      <c r="L2266" s="66">
        <v>472200</v>
      </c>
      <c r="M2266" t="s">
        <v>1874</v>
      </c>
    </row>
    <row r="2267" spans="12:13">
      <c r="L2267" s="66">
        <v>472210</v>
      </c>
      <c r="M2267" t="s">
        <v>1874</v>
      </c>
    </row>
    <row r="2268" spans="12:13">
      <c r="L2268" s="66">
        <v>472211</v>
      </c>
      <c r="M2268" t="s">
        <v>1874</v>
      </c>
    </row>
    <row r="2269" spans="12:13">
      <c r="L2269" s="66">
        <v>472300</v>
      </c>
      <c r="M2269" t="s">
        <v>1875</v>
      </c>
    </row>
    <row r="2270" spans="12:13">
      <c r="L2270" s="66">
        <v>472310</v>
      </c>
      <c r="M2270" t="s">
        <v>1875</v>
      </c>
    </row>
    <row r="2271" spans="12:13">
      <c r="L2271" s="66">
        <v>472311</v>
      </c>
      <c r="M2271" t="s">
        <v>1875</v>
      </c>
    </row>
    <row r="2272" spans="12:13">
      <c r="L2272" s="66">
        <v>472400</v>
      </c>
      <c r="M2272" t="s">
        <v>1876</v>
      </c>
    </row>
    <row r="2273" spans="12:13">
      <c r="L2273" s="66">
        <v>472410</v>
      </c>
      <c r="M2273" t="s">
        <v>1876</v>
      </c>
    </row>
    <row r="2274" spans="12:13">
      <c r="L2274" s="66">
        <v>472411</v>
      </c>
      <c r="M2274" t="s">
        <v>1876</v>
      </c>
    </row>
    <row r="2275" spans="12:13">
      <c r="L2275" s="66">
        <v>472500</v>
      </c>
      <c r="M2275" t="s">
        <v>1877</v>
      </c>
    </row>
    <row r="2276" spans="12:13">
      <c r="L2276" s="66">
        <v>472510</v>
      </c>
      <c r="M2276" t="s">
        <v>1878</v>
      </c>
    </row>
    <row r="2277" spans="12:13">
      <c r="L2277" s="66">
        <v>472511</v>
      </c>
      <c r="M2277" t="s">
        <v>1878</v>
      </c>
    </row>
    <row r="2278" spans="12:13">
      <c r="L2278" s="66">
        <v>472520</v>
      </c>
      <c r="M2278" t="s">
        <v>1879</v>
      </c>
    </row>
    <row r="2279" spans="12:13">
      <c r="L2279" s="66">
        <v>472521</v>
      </c>
      <c r="M2279" t="s">
        <v>1879</v>
      </c>
    </row>
    <row r="2280" spans="12:13">
      <c r="L2280" s="66">
        <v>472600</v>
      </c>
      <c r="M2280" t="s">
        <v>1880</v>
      </c>
    </row>
    <row r="2281" spans="12:13">
      <c r="L2281" s="66">
        <v>472610</v>
      </c>
      <c r="M2281" t="s">
        <v>1880</v>
      </c>
    </row>
    <row r="2282" spans="12:13">
      <c r="L2282" s="66">
        <v>472611</v>
      </c>
      <c r="M2282" t="s">
        <v>1880</v>
      </c>
    </row>
    <row r="2283" spans="12:13">
      <c r="L2283" s="66">
        <v>472700</v>
      </c>
      <c r="M2283" t="s">
        <v>1881</v>
      </c>
    </row>
    <row r="2284" spans="12:13">
      <c r="L2284" s="66">
        <v>472710</v>
      </c>
      <c r="M2284" t="s">
        <v>1882</v>
      </c>
    </row>
    <row r="2285" spans="12:13">
      <c r="L2285" s="66">
        <v>472711</v>
      </c>
      <c r="M2285" t="s">
        <v>1883</v>
      </c>
    </row>
    <row r="2286" spans="12:13">
      <c r="L2286" s="66">
        <v>472712</v>
      </c>
      <c r="M2286" t="s">
        <v>1884</v>
      </c>
    </row>
    <row r="2287" spans="12:13">
      <c r="L2287" s="66">
        <v>472713</v>
      </c>
      <c r="M2287" t="s">
        <v>1885</v>
      </c>
    </row>
    <row r="2288" spans="12:13">
      <c r="L2288" s="66">
        <v>472714</v>
      </c>
      <c r="M2288" t="s">
        <v>1886</v>
      </c>
    </row>
    <row r="2289" spans="12:13">
      <c r="L2289" s="66">
        <v>472715</v>
      </c>
      <c r="M2289" t="s">
        <v>1887</v>
      </c>
    </row>
    <row r="2290" spans="12:13">
      <c r="L2290" s="66">
        <v>472716</v>
      </c>
      <c r="M2290" t="s">
        <v>1888</v>
      </c>
    </row>
    <row r="2291" spans="12:13">
      <c r="L2291" s="66">
        <v>472717</v>
      </c>
      <c r="M2291" t="s">
        <v>1889</v>
      </c>
    </row>
    <row r="2292" spans="12:13">
      <c r="L2292" s="66">
        <v>472718</v>
      </c>
      <c r="M2292" t="s">
        <v>1434</v>
      </c>
    </row>
    <row r="2293" spans="12:13">
      <c r="L2293" s="66">
        <v>472719</v>
      </c>
      <c r="M2293" t="s">
        <v>1890</v>
      </c>
    </row>
    <row r="2294" spans="12:13">
      <c r="L2294" s="66">
        <v>472720</v>
      </c>
      <c r="M2294" t="s">
        <v>1891</v>
      </c>
    </row>
    <row r="2295" spans="12:13">
      <c r="L2295" s="66">
        <v>472721</v>
      </c>
      <c r="M2295" t="s">
        <v>1891</v>
      </c>
    </row>
    <row r="2296" spans="12:13">
      <c r="L2296" s="66">
        <v>472730</v>
      </c>
      <c r="M2296" t="s">
        <v>1892</v>
      </c>
    </row>
    <row r="2297" spans="12:13">
      <c r="L2297" s="66">
        <v>472731</v>
      </c>
      <c r="M2297" t="s">
        <v>1893</v>
      </c>
    </row>
    <row r="2298" spans="12:13">
      <c r="L2298" s="66">
        <v>472732</v>
      </c>
      <c r="M2298" t="s">
        <v>1894</v>
      </c>
    </row>
    <row r="2299" spans="12:13">
      <c r="L2299" s="66">
        <v>472740</v>
      </c>
      <c r="M2299" t="s">
        <v>1895</v>
      </c>
    </row>
    <row r="2300" spans="12:13">
      <c r="L2300" s="66">
        <v>472741</v>
      </c>
      <c r="M2300" t="s">
        <v>1895</v>
      </c>
    </row>
    <row r="2301" spans="12:13">
      <c r="L2301" s="66">
        <v>472742</v>
      </c>
      <c r="M2301" t="s">
        <v>1896</v>
      </c>
    </row>
    <row r="2302" spans="12:13">
      <c r="L2302" s="66">
        <v>472800</v>
      </c>
      <c r="M2302" t="s">
        <v>1897</v>
      </c>
    </row>
    <row r="2303" spans="12:13">
      <c r="L2303" s="66">
        <v>472810</v>
      </c>
      <c r="M2303" t="s">
        <v>1897</v>
      </c>
    </row>
    <row r="2304" spans="12:13">
      <c r="L2304" s="66">
        <v>472811</v>
      </c>
      <c r="M2304" t="s">
        <v>1897</v>
      </c>
    </row>
    <row r="2305" spans="12:13">
      <c r="L2305" s="66">
        <v>472900</v>
      </c>
      <c r="M2305" t="s">
        <v>1898</v>
      </c>
    </row>
    <row r="2306" spans="12:13">
      <c r="L2306" s="66">
        <v>472910</v>
      </c>
      <c r="M2306" t="s">
        <v>1899</v>
      </c>
    </row>
    <row r="2307" spans="12:13">
      <c r="L2307" s="66">
        <v>472911</v>
      </c>
      <c r="M2307" t="s">
        <v>1899</v>
      </c>
    </row>
    <row r="2308" spans="12:13">
      <c r="L2308" s="66">
        <v>472920</v>
      </c>
      <c r="M2308" t="s">
        <v>1900</v>
      </c>
    </row>
    <row r="2309" spans="12:13">
      <c r="L2309" s="66">
        <v>472921</v>
      </c>
      <c r="M2309" t="s">
        <v>1901</v>
      </c>
    </row>
    <row r="2310" spans="12:13">
      <c r="L2310" s="66">
        <v>472922</v>
      </c>
      <c r="M2310" t="s">
        <v>1902</v>
      </c>
    </row>
    <row r="2311" spans="12:13">
      <c r="L2311" s="66">
        <v>472930</v>
      </c>
      <c r="M2311" t="s">
        <v>1809</v>
      </c>
    </row>
    <row r="2312" spans="12:13">
      <c r="L2312" s="66">
        <v>472931</v>
      </c>
      <c r="M2312" t="s">
        <v>1809</v>
      </c>
    </row>
    <row r="2313" spans="12:13">
      <c r="L2313" s="66">
        <v>480000</v>
      </c>
      <c r="M2313" t="s">
        <v>1903</v>
      </c>
    </row>
    <row r="2314" spans="12:13">
      <c r="L2314" s="66">
        <v>481000</v>
      </c>
      <c r="M2314" t="s">
        <v>1904</v>
      </c>
    </row>
    <row r="2315" spans="12:13">
      <c r="L2315" s="66">
        <v>481100</v>
      </c>
      <c r="M2315" t="s">
        <v>1905</v>
      </c>
    </row>
    <row r="2316" spans="12:13">
      <c r="L2316" s="66">
        <v>481110</v>
      </c>
      <c r="M2316" t="s">
        <v>1905</v>
      </c>
    </row>
    <row r="2317" spans="12:13">
      <c r="L2317" s="66">
        <v>481111</v>
      </c>
      <c r="M2317" t="s">
        <v>1906</v>
      </c>
    </row>
    <row r="2318" spans="12:13">
      <c r="L2318" s="66">
        <v>481112</v>
      </c>
      <c r="M2318" t="s">
        <v>1907</v>
      </c>
    </row>
    <row r="2319" spans="12:13">
      <c r="L2319" s="66">
        <v>481113</v>
      </c>
      <c r="M2319" t="s">
        <v>1908</v>
      </c>
    </row>
    <row r="2320" spans="12:13">
      <c r="L2320" s="66">
        <v>481120</v>
      </c>
      <c r="M2320" t="s">
        <v>1909</v>
      </c>
    </row>
    <row r="2321" spans="12:13">
      <c r="L2321" s="66">
        <v>481121</v>
      </c>
      <c r="M2321" t="s">
        <v>1910</v>
      </c>
    </row>
    <row r="2322" spans="12:13">
      <c r="L2322" s="66">
        <v>481130</v>
      </c>
      <c r="M2322" t="s">
        <v>1911</v>
      </c>
    </row>
    <row r="2323" spans="12:13">
      <c r="L2323" s="66">
        <v>481131</v>
      </c>
      <c r="M2323" t="s">
        <v>1911</v>
      </c>
    </row>
    <row r="2324" spans="12:13">
      <c r="L2324" s="66">
        <v>481900</v>
      </c>
      <c r="M2324" t="s">
        <v>1912</v>
      </c>
    </row>
    <row r="2325" spans="12:13">
      <c r="L2325" s="66">
        <v>481910</v>
      </c>
      <c r="M2325" t="s">
        <v>1913</v>
      </c>
    </row>
    <row r="2326" spans="12:13">
      <c r="L2326" s="66">
        <v>481911</v>
      </c>
      <c r="M2326" t="s">
        <v>1913</v>
      </c>
    </row>
    <row r="2327" spans="12:13">
      <c r="L2327" s="66">
        <v>481920</v>
      </c>
      <c r="M2327" t="s">
        <v>1914</v>
      </c>
    </row>
    <row r="2328" spans="12:13">
      <c r="L2328" s="66">
        <v>481921</v>
      </c>
      <c r="M2328" t="s">
        <v>1914</v>
      </c>
    </row>
    <row r="2329" spans="12:13">
      <c r="L2329" s="66">
        <v>481930</v>
      </c>
      <c r="M2329" t="s">
        <v>1915</v>
      </c>
    </row>
    <row r="2330" spans="12:13">
      <c r="L2330" s="66">
        <v>481931</v>
      </c>
      <c r="M2330" t="s">
        <v>1915</v>
      </c>
    </row>
    <row r="2331" spans="12:13">
      <c r="L2331" s="66">
        <v>481940</v>
      </c>
      <c r="M2331" t="s">
        <v>1916</v>
      </c>
    </row>
    <row r="2332" spans="12:13">
      <c r="L2332" s="66">
        <v>481941</v>
      </c>
      <c r="M2332" t="s">
        <v>1917</v>
      </c>
    </row>
    <row r="2333" spans="12:13">
      <c r="L2333" s="66">
        <v>481942</v>
      </c>
      <c r="M2333" t="s">
        <v>1918</v>
      </c>
    </row>
    <row r="2334" spans="12:13">
      <c r="L2334" s="66">
        <v>481950</v>
      </c>
      <c r="M2334" t="s">
        <v>1919</v>
      </c>
    </row>
    <row r="2335" spans="12:13">
      <c r="L2335" s="66">
        <v>481951</v>
      </c>
      <c r="M2335" t="s">
        <v>1919</v>
      </c>
    </row>
    <row r="2336" spans="12:13">
      <c r="L2336" s="66">
        <v>481960</v>
      </c>
      <c r="M2336" t="s">
        <v>1920</v>
      </c>
    </row>
    <row r="2337" spans="12:13">
      <c r="L2337" s="66">
        <v>481961</v>
      </c>
      <c r="M2337" t="s">
        <v>1921</v>
      </c>
    </row>
    <row r="2338" spans="12:13">
      <c r="L2338" s="66">
        <v>481962</v>
      </c>
      <c r="M2338" t="s">
        <v>1922</v>
      </c>
    </row>
    <row r="2339" spans="12:13">
      <c r="L2339" s="66">
        <v>481969</v>
      </c>
      <c r="M2339" t="s">
        <v>1923</v>
      </c>
    </row>
    <row r="2340" spans="12:13">
      <c r="L2340" s="66">
        <v>481990</v>
      </c>
      <c r="M2340" t="s">
        <v>1912</v>
      </c>
    </row>
    <row r="2341" spans="12:13">
      <c r="L2341" s="66">
        <v>481991</v>
      </c>
      <c r="M2341" t="s">
        <v>1912</v>
      </c>
    </row>
    <row r="2342" spans="12:13">
      <c r="L2342" s="66">
        <v>482000</v>
      </c>
      <c r="M2342" t="s">
        <v>1924</v>
      </c>
    </row>
    <row r="2343" spans="12:13">
      <c r="L2343" s="66">
        <v>482100</v>
      </c>
      <c r="M2343" t="s">
        <v>1925</v>
      </c>
    </row>
    <row r="2344" spans="12:13">
      <c r="L2344" s="66">
        <v>482110</v>
      </c>
      <c r="M2344" t="s">
        <v>1926</v>
      </c>
    </row>
    <row r="2345" spans="12:13">
      <c r="L2345" s="66">
        <v>482111</v>
      </c>
      <c r="M2345" t="s">
        <v>1927</v>
      </c>
    </row>
    <row r="2346" spans="12:13">
      <c r="L2346" s="66">
        <v>482112</v>
      </c>
      <c r="M2346" t="s">
        <v>1928</v>
      </c>
    </row>
    <row r="2347" spans="12:13">
      <c r="L2347" s="66">
        <v>482120</v>
      </c>
      <c r="M2347" t="s">
        <v>1929</v>
      </c>
    </row>
    <row r="2348" spans="12:13">
      <c r="L2348" s="66">
        <v>482121</v>
      </c>
      <c r="M2348" t="s">
        <v>1930</v>
      </c>
    </row>
    <row r="2349" spans="12:13">
      <c r="L2349" s="66">
        <v>482122</v>
      </c>
      <c r="M2349" t="s">
        <v>1931</v>
      </c>
    </row>
    <row r="2350" spans="12:13">
      <c r="L2350" s="66">
        <v>482123</v>
      </c>
      <c r="M2350" t="s">
        <v>1932</v>
      </c>
    </row>
    <row r="2351" spans="12:13">
      <c r="L2351" s="66">
        <v>482130</v>
      </c>
      <c r="M2351" t="s">
        <v>1933</v>
      </c>
    </row>
    <row r="2352" spans="12:13">
      <c r="L2352" s="66">
        <v>482131</v>
      </c>
      <c r="M2352" t="s">
        <v>1934</v>
      </c>
    </row>
    <row r="2353" spans="12:13">
      <c r="L2353" s="66">
        <v>482132</v>
      </c>
      <c r="M2353" t="s">
        <v>1935</v>
      </c>
    </row>
    <row r="2354" spans="12:13">
      <c r="L2354" s="66">
        <v>482140</v>
      </c>
      <c r="M2354" t="s">
        <v>1936</v>
      </c>
    </row>
    <row r="2355" spans="12:13">
      <c r="L2355" s="66">
        <v>482141</v>
      </c>
      <c r="M2355" t="s">
        <v>1937</v>
      </c>
    </row>
    <row r="2356" spans="12:13">
      <c r="L2356" s="66">
        <v>482190</v>
      </c>
      <c r="M2356" t="s">
        <v>1925</v>
      </c>
    </row>
    <row r="2357" spans="12:13">
      <c r="L2357" s="66">
        <v>482191</v>
      </c>
      <c r="M2357" t="s">
        <v>1925</v>
      </c>
    </row>
    <row r="2358" spans="12:13">
      <c r="L2358" s="66">
        <v>482200</v>
      </c>
      <c r="M2358" t="s">
        <v>1938</v>
      </c>
    </row>
    <row r="2359" spans="12:13">
      <c r="L2359" s="66">
        <v>482210</v>
      </c>
      <c r="M2359" t="s">
        <v>1132</v>
      </c>
    </row>
    <row r="2360" spans="12:13">
      <c r="L2360" s="66">
        <v>482211</v>
      </c>
      <c r="M2360" t="s">
        <v>1132</v>
      </c>
    </row>
    <row r="2361" spans="12:13">
      <c r="L2361" s="66">
        <v>482220</v>
      </c>
      <c r="M2361" t="s">
        <v>1133</v>
      </c>
    </row>
    <row r="2362" spans="12:13">
      <c r="L2362" s="66">
        <v>482221</v>
      </c>
      <c r="M2362" t="s">
        <v>1133</v>
      </c>
    </row>
    <row r="2363" spans="12:13">
      <c r="L2363" s="66">
        <v>482230</v>
      </c>
      <c r="M2363" t="s">
        <v>1134</v>
      </c>
    </row>
    <row r="2364" spans="12:13">
      <c r="L2364" s="66">
        <v>482231</v>
      </c>
      <c r="M2364" t="s">
        <v>1134</v>
      </c>
    </row>
    <row r="2365" spans="12:13">
      <c r="L2365" s="66">
        <v>482240</v>
      </c>
      <c r="M2365" t="s">
        <v>1135</v>
      </c>
    </row>
    <row r="2366" spans="12:13">
      <c r="L2366" s="66">
        <v>482241</v>
      </c>
      <c r="M2366" t="s">
        <v>1135</v>
      </c>
    </row>
    <row r="2367" spans="12:13">
      <c r="L2367" s="66">
        <v>482250</v>
      </c>
      <c r="M2367" t="s">
        <v>1136</v>
      </c>
    </row>
    <row r="2368" spans="12:13">
      <c r="L2368" s="66">
        <v>482251</v>
      </c>
      <c r="M2368" t="s">
        <v>1136</v>
      </c>
    </row>
    <row r="2369" spans="12:13">
      <c r="L2369" s="66">
        <v>482300</v>
      </c>
      <c r="M2369" t="s">
        <v>1939</v>
      </c>
    </row>
    <row r="2370" spans="12:13">
      <c r="L2370" s="66">
        <v>482310</v>
      </c>
      <c r="M2370" t="s">
        <v>1940</v>
      </c>
    </row>
    <row r="2371" spans="12:13">
      <c r="L2371" s="66">
        <v>482311</v>
      </c>
      <c r="M2371" t="s">
        <v>1138</v>
      </c>
    </row>
    <row r="2372" spans="12:13">
      <c r="L2372" s="66">
        <v>482312</v>
      </c>
      <c r="M2372" t="s">
        <v>1941</v>
      </c>
    </row>
    <row r="2373" spans="12:13">
      <c r="L2373" s="66">
        <v>482320</v>
      </c>
      <c r="M2373" t="s">
        <v>1139</v>
      </c>
    </row>
    <row r="2374" spans="12:13">
      <c r="L2374" s="66">
        <v>482321</v>
      </c>
      <c r="M2374" t="s">
        <v>1139</v>
      </c>
    </row>
    <row r="2375" spans="12:13">
      <c r="L2375" s="66">
        <v>482330</v>
      </c>
      <c r="M2375" t="s">
        <v>1140</v>
      </c>
    </row>
    <row r="2376" spans="12:13">
      <c r="L2376" s="66">
        <v>482331</v>
      </c>
      <c r="M2376" t="s">
        <v>1140</v>
      </c>
    </row>
    <row r="2377" spans="12:13">
      <c r="L2377" s="66">
        <v>482340</v>
      </c>
      <c r="M2377" t="s">
        <v>1141</v>
      </c>
    </row>
    <row r="2378" spans="12:13">
      <c r="L2378" s="66">
        <v>482341</v>
      </c>
      <c r="M2378" t="s">
        <v>1141</v>
      </c>
    </row>
    <row r="2379" spans="12:13">
      <c r="L2379" s="66">
        <v>483000</v>
      </c>
      <c r="M2379" t="s">
        <v>1942</v>
      </c>
    </row>
    <row r="2380" spans="12:13">
      <c r="L2380" s="66">
        <v>483100</v>
      </c>
      <c r="M2380" t="s">
        <v>1942</v>
      </c>
    </row>
    <row r="2381" spans="12:13">
      <c r="L2381" s="66">
        <v>483110</v>
      </c>
      <c r="M2381" t="s">
        <v>1942</v>
      </c>
    </row>
    <row r="2382" spans="12:13">
      <c r="L2382" s="66">
        <v>483111</v>
      </c>
      <c r="M2382" t="s">
        <v>1942</v>
      </c>
    </row>
    <row r="2383" spans="12:13">
      <c r="L2383" s="66">
        <v>484000</v>
      </c>
      <c r="M2383" t="s">
        <v>1943</v>
      </c>
    </row>
    <row r="2384" spans="12:13">
      <c r="L2384" s="66">
        <v>484100</v>
      </c>
      <c r="M2384" t="s">
        <v>1944</v>
      </c>
    </row>
    <row r="2385" spans="12:13">
      <c r="L2385" s="66">
        <v>484110</v>
      </c>
      <c r="M2385" t="s">
        <v>1944</v>
      </c>
    </row>
    <row r="2386" spans="12:13">
      <c r="L2386" s="66">
        <v>484111</v>
      </c>
      <c r="M2386" t="s">
        <v>1944</v>
      </c>
    </row>
    <row r="2387" spans="12:13">
      <c r="L2387" s="66">
        <v>484200</v>
      </c>
      <c r="M2387" t="s">
        <v>1945</v>
      </c>
    </row>
    <row r="2388" spans="12:13">
      <c r="L2388" s="66">
        <v>484210</v>
      </c>
      <c r="M2388" t="s">
        <v>1945</v>
      </c>
    </row>
    <row r="2389" spans="12:13">
      <c r="L2389" s="66">
        <v>484211</v>
      </c>
      <c r="M2389" t="s">
        <v>1945</v>
      </c>
    </row>
    <row r="2390" spans="12:13">
      <c r="L2390" s="66">
        <v>485000</v>
      </c>
      <c r="M2390" t="s">
        <v>1946</v>
      </c>
    </row>
    <row r="2391" spans="12:13">
      <c r="L2391" s="66">
        <v>485100</v>
      </c>
      <c r="M2391" t="s">
        <v>1946</v>
      </c>
    </row>
    <row r="2392" spans="12:13">
      <c r="L2392" s="66">
        <v>485110</v>
      </c>
      <c r="M2392" t="s">
        <v>1946</v>
      </c>
    </row>
    <row r="2393" spans="12:13">
      <c r="L2393" s="66">
        <v>485111</v>
      </c>
      <c r="M2393" t="s">
        <v>1947</v>
      </c>
    </row>
    <row r="2394" spans="12:13">
      <c r="L2394" s="66">
        <v>485119</v>
      </c>
      <c r="M2394" t="s">
        <v>1948</v>
      </c>
    </row>
    <row r="2395" spans="12:13">
      <c r="L2395" s="66">
        <v>489000</v>
      </c>
      <c r="M2395" t="s">
        <v>1949</v>
      </c>
    </row>
    <row r="2396" spans="12:13">
      <c r="L2396" s="66">
        <v>489100</v>
      </c>
      <c r="M2396" t="s">
        <v>1949</v>
      </c>
    </row>
    <row r="2397" spans="12:13">
      <c r="L2397" s="66">
        <v>489110</v>
      </c>
      <c r="M2397" t="s">
        <v>1949</v>
      </c>
    </row>
    <row r="2398" spans="12:13">
      <c r="L2398" s="66">
        <v>489111</v>
      </c>
      <c r="M2398" t="s">
        <v>1949</v>
      </c>
    </row>
    <row r="2399" spans="12:13">
      <c r="L2399" s="66">
        <v>490000</v>
      </c>
      <c r="M2399" t="s">
        <v>1950</v>
      </c>
    </row>
    <row r="2400" spans="12:13">
      <c r="L2400" s="66">
        <v>494000</v>
      </c>
      <c r="M2400" t="s">
        <v>1268</v>
      </c>
    </row>
    <row r="2401" spans="12:13">
      <c r="L2401" s="66">
        <v>494100</v>
      </c>
      <c r="M2401" t="s">
        <v>1269</v>
      </c>
    </row>
    <row r="2402" spans="12:13">
      <c r="L2402" s="66">
        <v>494110</v>
      </c>
      <c r="M2402" t="s">
        <v>1271</v>
      </c>
    </row>
    <row r="2403" spans="12:13">
      <c r="L2403" s="66">
        <v>494111</v>
      </c>
      <c r="M2403" t="s">
        <v>1271</v>
      </c>
    </row>
    <row r="2404" spans="12:13">
      <c r="L2404" s="66">
        <v>494120</v>
      </c>
      <c r="M2404" t="s">
        <v>1290</v>
      </c>
    </row>
    <row r="2405" spans="12:13">
      <c r="L2405" s="66">
        <v>494121</v>
      </c>
      <c r="M2405" t="s">
        <v>1291</v>
      </c>
    </row>
    <row r="2406" spans="12:13">
      <c r="L2406" s="66">
        <v>494122</v>
      </c>
      <c r="M2406" t="s">
        <v>1294</v>
      </c>
    </row>
    <row r="2407" spans="12:13">
      <c r="L2407" s="66">
        <v>494123</v>
      </c>
      <c r="M2407" t="s">
        <v>1951</v>
      </c>
    </row>
    <row r="2408" spans="12:13">
      <c r="L2408" s="66">
        <v>494130</v>
      </c>
      <c r="M2408" t="s">
        <v>1297</v>
      </c>
    </row>
    <row r="2409" spans="12:13">
      <c r="L2409" s="66">
        <v>494131</v>
      </c>
      <c r="M2409" t="s">
        <v>1297</v>
      </c>
    </row>
    <row r="2410" spans="12:13">
      <c r="L2410" s="66">
        <v>494140</v>
      </c>
      <c r="M2410" t="s">
        <v>1312</v>
      </c>
    </row>
    <row r="2411" spans="12:13">
      <c r="L2411" s="66">
        <v>494141</v>
      </c>
      <c r="M2411" t="s">
        <v>1952</v>
      </c>
    </row>
    <row r="2412" spans="12:13">
      <c r="L2412" s="66">
        <v>494142</v>
      </c>
      <c r="M2412" t="s">
        <v>1317</v>
      </c>
    </row>
    <row r="2413" spans="12:13">
      <c r="L2413" s="66">
        <v>494143</v>
      </c>
      <c r="M2413" t="s">
        <v>1318</v>
      </c>
    </row>
    <row r="2414" spans="12:13">
      <c r="L2414" s="66">
        <v>494144</v>
      </c>
      <c r="M2414" t="s">
        <v>1322</v>
      </c>
    </row>
    <row r="2415" spans="12:13">
      <c r="L2415" s="66">
        <v>494150</v>
      </c>
      <c r="M2415" t="s">
        <v>1326</v>
      </c>
    </row>
    <row r="2416" spans="12:13">
      <c r="L2416" s="66">
        <v>494151</v>
      </c>
      <c r="M2416" t="s">
        <v>1326</v>
      </c>
    </row>
    <row r="2417" spans="12:13">
      <c r="L2417" s="66">
        <v>494160</v>
      </c>
      <c r="M2417" t="s">
        <v>1332</v>
      </c>
    </row>
    <row r="2418" spans="12:13">
      <c r="L2418" s="66">
        <v>494161</v>
      </c>
      <c r="M2418" t="s">
        <v>1332</v>
      </c>
    </row>
    <row r="2419" spans="12:13">
      <c r="L2419" s="66">
        <v>494170</v>
      </c>
      <c r="M2419" t="s">
        <v>1342</v>
      </c>
    </row>
    <row r="2420" spans="12:13">
      <c r="L2420" s="66">
        <v>494171</v>
      </c>
      <c r="M2420" t="s">
        <v>1342</v>
      </c>
    </row>
    <row r="2421" spans="12:13">
      <c r="L2421" s="66">
        <v>494180</v>
      </c>
      <c r="M2421" t="s">
        <v>1343</v>
      </c>
    </row>
    <row r="2422" spans="12:13">
      <c r="L2422" s="66">
        <v>494181</v>
      </c>
      <c r="M2422" t="s">
        <v>1343</v>
      </c>
    </row>
    <row r="2423" spans="12:13">
      <c r="L2423" s="66">
        <v>494200</v>
      </c>
      <c r="M2423" t="s">
        <v>1344</v>
      </c>
    </row>
    <row r="2424" spans="12:13">
      <c r="L2424" s="66">
        <v>494210</v>
      </c>
      <c r="M2424" t="s">
        <v>1345</v>
      </c>
    </row>
    <row r="2425" spans="12:13">
      <c r="L2425" s="66">
        <v>494211</v>
      </c>
      <c r="M2425" t="s">
        <v>1346</v>
      </c>
    </row>
    <row r="2426" spans="12:13">
      <c r="L2426" s="66">
        <v>494212</v>
      </c>
      <c r="M2426" t="s">
        <v>1349</v>
      </c>
    </row>
    <row r="2427" spans="12:13">
      <c r="L2427" s="66">
        <v>494213</v>
      </c>
      <c r="M2427" t="s">
        <v>1357</v>
      </c>
    </row>
    <row r="2428" spans="12:13">
      <c r="L2428" s="66">
        <v>494214</v>
      </c>
      <c r="M2428" t="s">
        <v>1368</v>
      </c>
    </row>
    <row r="2429" spans="12:13">
      <c r="L2429" s="66">
        <v>494215</v>
      </c>
      <c r="M2429" t="s">
        <v>1379</v>
      </c>
    </row>
    <row r="2430" spans="12:13">
      <c r="L2430" s="66">
        <v>494216</v>
      </c>
      <c r="M2430" t="s">
        <v>1389</v>
      </c>
    </row>
    <row r="2431" spans="12:13">
      <c r="L2431" s="66">
        <v>494219</v>
      </c>
      <c r="M2431" t="s">
        <v>1404</v>
      </c>
    </row>
    <row r="2432" spans="12:13">
      <c r="L2432" s="66">
        <v>494220</v>
      </c>
      <c r="M2432" t="s">
        <v>1407</v>
      </c>
    </row>
    <row r="2433" spans="12:13">
      <c r="L2433" s="66">
        <v>494221</v>
      </c>
      <c r="M2433" t="s">
        <v>1408</v>
      </c>
    </row>
    <row r="2434" spans="12:13">
      <c r="L2434" s="66">
        <v>494222</v>
      </c>
      <c r="M2434" t="s">
        <v>1418</v>
      </c>
    </row>
    <row r="2435" spans="12:13">
      <c r="L2435" s="66">
        <v>494223</v>
      </c>
      <c r="M2435" t="s">
        <v>1424</v>
      </c>
    </row>
    <row r="2436" spans="12:13">
      <c r="L2436" s="66">
        <v>494224</v>
      </c>
      <c r="M2436" t="s">
        <v>1433</v>
      </c>
    </row>
    <row r="2437" spans="12:13">
      <c r="L2437" s="66">
        <v>494229</v>
      </c>
      <c r="M2437" t="s">
        <v>1436</v>
      </c>
    </row>
    <row r="2438" spans="12:13">
      <c r="L2438" s="66">
        <v>494230</v>
      </c>
      <c r="M2438" t="s">
        <v>1438</v>
      </c>
    </row>
    <row r="2439" spans="12:13">
      <c r="L2439" s="66">
        <v>494231</v>
      </c>
      <c r="M2439" t="s">
        <v>1439</v>
      </c>
    </row>
    <row r="2440" spans="12:13">
      <c r="L2440" s="66">
        <v>494232</v>
      </c>
      <c r="M2440" t="s">
        <v>1444</v>
      </c>
    </row>
    <row r="2441" spans="12:13">
      <c r="L2441" s="66">
        <v>494233</v>
      </c>
      <c r="M2441" t="s">
        <v>1450</v>
      </c>
    </row>
    <row r="2442" spans="12:13">
      <c r="L2442" s="66">
        <v>494234</v>
      </c>
      <c r="M2442" t="s">
        <v>1458</v>
      </c>
    </row>
    <row r="2443" spans="12:13">
      <c r="L2443" s="66">
        <v>494235</v>
      </c>
      <c r="M2443" t="s">
        <v>1473</v>
      </c>
    </row>
    <row r="2444" spans="12:13">
      <c r="L2444" s="66">
        <v>494236</v>
      </c>
      <c r="M2444" t="s">
        <v>1486</v>
      </c>
    </row>
    <row r="2445" spans="12:13">
      <c r="L2445" s="66">
        <v>494237</v>
      </c>
      <c r="M2445" t="s">
        <v>1491</v>
      </c>
    </row>
    <row r="2446" spans="12:13">
      <c r="L2446" s="66">
        <v>494239</v>
      </c>
      <c r="M2446" t="s">
        <v>1493</v>
      </c>
    </row>
    <row r="2447" spans="12:13">
      <c r="L2447" s="66">
        <v>494240</v>
      </c>
      <c r="M2447" t="s">
        <v>1494</v>
      </c>
    </row>
    <row r="2448" spans="12:13">
      <c r="L2448" s="66">
        <v>494241</v>
      </c>
      <c r="M2448" t="s">
        <v>1495</v>
      </c>
    </row>
    <row r="2449" spans="12:13">
      <c r="L2449" s="66">
        <v>494242</v>
      </c>
      <c r="M2449" t="s">
        <v>1501</v>
      </c>
    </row>
    <row r="2450" spans="12:13">
      <c r="L2450" s="66">
        <v>494243</v>
      </c>
      <c r="M2450" t="s">
        <v>1507</v>
      </c>
    </row>
    <row r="2451" spans="12:13">
      <c r="L2451" s="66">
        <v>494244</v>
      </c>
      <c r="M2451" t="s">
        <v>1513</v>
      </c>
    </row>
    <row r="2452" spans="12:13">
      <c r="L2452" s="66">
        <v>494245</v>
      </c>
      <c r="M2452" t="s">
        <v>1514</v>
      </c>
    </row>
    <row r="2453" spans="12:13">
      <c r="L2453" s="66">
        <v>494246</v>
      </c>
      <c r="M2453" t="s">
        <v>1515</v>
      </c>
    </row>
    <row r="2454" spans="12:13">
      <c r="L2454" s="66">
        <v>494249</v>
      </c>
      <c r="M2454" t="s">
        <v>1519</v>
      </c>
    </row>
    <row r="2455" spans="12:13">
      <c r="L2455" s="66">
        <v>494250</v>
      </c>
      <c r="M2455" t="s">
        <v>1520</v>
      </c>
    </row>
    <row r="2456" spans="12:13">
      <c r="L2456" s="66">
        <v>494251</v>
      </c>
      <c r="M2456" t="s">
        <v>1521</v>
      </c>
    </row>
    <row r="2457" spans="12:13">
      <c r="L2457" s="66">
        <v>494252</v>
      </c>
      <c r="M2457" t="s">
        <v>1532</v>
      </c>
    </row>
    <row r="2458" spans="12:13">
      <c r="L2458" s="66">
        <v>494260</v>
      </c>
      <c r="M2458" t="s">
        <v>1559</v>
      </c>
    </row>
    <row r="2459" spans="12:13">
      <c r="L2459" s="66">
        <v>494261</v>
      </c>
      <c r="M2459" t="s">
        <v>1560</v>
      </c>
    </row>
    <row r="2460" spans="12:13">
      <c r="L2460" s="66">
        <v>494262</v>
      </c>
      <c r="M2460" t="s">
        <v>1953</v>
      </c>
    </row>
    <row r="2461" spans="12:13">
      <c r="L2461" s="66">
        <v>494263</v>
      </c>
      <c r="M2461" t="s">
        <v>1954</v>
      </c>
    </row>
    <row r="2462" spans="12:13">
      <c r="L2462" s="66">
        <v>494264</v>
      </c>
      <c r="M2462" t="s">
        <v>1955</v>
      </c>
    </row>
    <row r="2463" spans="12:13">
      <c r="L2463" s="66">
        <v>494265</v>
      </c>
      <c r="M2463" t="s">
        <v>1956</v>
      </c>
    </row>
    <row r="2464" spans="12:13">
      <c r="L2464" s="66">
        <v>494266</v>
      </c>
      <c r="M2464" t="s">
        <v>1957</v>
      </c>
    </row>
    <row r="2465" spans="12:13">
      <c r="L2465" s="66">
        <v>494267</v>
      </c>
      <c r="M2465" t="s">
        <v>1599</v>
      </c>
    </row>
    <row r="2466" spans="12:13">
      <c r="L2466" s="66">
        <v>494268</v>
      </c>
      <c r="M2466" t="s">
        <v>1958</v>
      </c>
    </row>
    <row r="2467" spans="12:13">
      <c r="L2467" s="66">
        <v>494269</v>
      </c>
      <c r="M2467" t="s">
        <v>1959</v>
      </c>
    </row>
    <row r="2468" spans="12:13">
      <c r="L2468" s="66">
        <v>494300</v>
      </c>
      <c r="M2468" t="s">
        <v>1623</v>
      </c>
    </row>
    <row r="2469" spans="12:13">
      <c r="L2469" s="66">
        <v>494310</v>
      </c>
      <c r="M2469" t="s">
        <v>1624</v>
      </c>
    </row>
    <row r="2470" spans="12:13">
      <c r="L2470" s="66">
        <v>494311</v>
      </c>
      <c r="M2470" t="s">
        <v>1625</v>
      </c>
    </row>
    <row r="2471" spans="12:13">
      <c r="L2471" s="66">
        <v>494312</v>
      </c>
      <c r="M2471" t="s">
        <v>1626</v>
      </c>
    </row>
    <row r="2472" spans="12:13">
      <c r="L2472" s="66">
        <v>494313</v>
      </c>
      <c r="M2472" t="s">
        <v>1627</v>
      </c>
    </row>
    <row r="2473" spans="12:13">
      <c r="L2473" s="66">
        <v>494320</v>
      </c>
      <c r="M2473" t="s">
        <v>1628</v>
      </c>
    </row>
    <row r="2474" spans="12:13">
      <c r="L2474" s="66">
        <v>494321</v>
      </c>
      <c r="M2474" t="s">
        <v>1628</v>
      </c>
    </row>
    <row r="2475" spans="12:13">
      <c r="L2475" s="66">
        <v>494330</v>
      </c>
      <c r="M2475" t="s">
        <v>1630</v>
      </c>
    </row>
    <row r="2476" spans="12:13">
      <c r="L2476" s="66">
        <v>494331</v>
      </c>
      <c r="M2476" t="s">
        <v>1631</v>
      </c>
    </row>
    <row r="2477" spans="12:13">
      <c r="L2477" s="66">
        <v>494340</v>
      </c>
      <c r="M2477" t="s">
        <v>1632</v>
      </c>
    </row>
    <row r="2478" spans="12:13">
      <c r="L2478" s="66">
        <v>494341</v>
      </c>
      <c r="M2478" t="s">
        <v>1633</v>
      </c>
    </row>
    <row r="2479" spans="12:13">
      <c r="L2479" s="66">
        <v>494342</v>
      </c>
      <c r="M2479" t="s">
        <v>1634</v>
      </c>
    </row>
    <row r="2480" spans="12:13">
      <c r="L2480" s="66">
        <v>494343</v>
      </c>
      <c r="M2480" t="s">
        <v>1635</v>
      </c>
    </row>
    <row r="2481" spans="12:13">
      <c r="L2481" s="66">
        <v>494350</v>
      </c>
      <c r="M2481" t="s">
        <v>1638</v>
      </c>
    </row>
    <row r="2482" spans="12:13">
      <c r="L2482" s="66">
        <v>494351</v>
      </c>
      <c r="M2482" t="s">
        <v>1638</v>
      </c>
    </row>
    <row r="2483" spans="12:13">
      <c r="L2483" s="66">
        <v>494400</v>
      </c>
      <c r="M2483" t="s">
        <v>1639</v>
      </c>
    </row>
    <row r="2484" spans="12:13">
      <c r="L2484" s="66">
        <v>494410</v>
      </c>
      <c r="M2484" t="s">
        <v>1960</v>
      </c>
    </row>
    <row r="2485" spans="12:13">
      <c r="L2485" s="66">
        <v>494411</v>
      </c>
      <c r="M2485" t="s">
        <v>1641</v>
      </c>
    </row>
    <row r="2486" spans="12:13">
      <c r="L2486" s="66">
        <v>494412</v>
      </c>
      <c r="M2486" t="s">
        <v>1644</v>
      </c>
    </row>
    <row r="2487" spans="12:13">
      <c r="L2487" s="66">
        <v>494413</v>
      </c>
      <c r="M2487" t="s">
        <v>1653</v>
      </c>
    </row>
    <row r="2488" spans="12:13">
      <c r="L2488" s="66">
        <v>494414</v>
      </c>
      <c r="M2488" t="s">
        <v>1961</v>
      </c>
    </row>
    <row r="2489" spans="12:13">
      <c r="L2489" s="66">
        <v>494415</v>
      </c>
      <c r="M2489" t="s">
        <v>1962</v>
      </c>
    </row>
    <row r="2490" spans="12:13">
      <c r="L2490" s="66">
        <v>494416</v>
      </c>
      <c r="M2490" t="s">
        <v>1963</v>
      </c>
    </row>
    <row r="2491" spans="12:13">
      <c r="L2491" s="66">
        <v>494417</v>
      </c>
      <c r="M2491" t="s">
        <v>1659</v>
      </c>
    </row>
    <row r="2492" spans="12:13">
      <c r="L2492" s="66">
        <v>494418</v>
      </c>
      <c r="M2492" t="s">
        <v>1964</v>
      </c>
    </row>
    <row r="2493" spans="12:13">
      <c r="L2493" s="66">
        <v>494420</v>
      </c>
      <c r="M2493" t="s">
        <v>1663</v>
      </c>
    </row>
    <row r="2494" spans="12:13">
      <c r="L2494" s="66">
        <v>494421</v>
      </c>
      <c r="M2494" t="s">
        <v>1664</v>
      </c>
    </row>
    <row r="2495" spans="12:13">
      <c r="L2495" s="66">
        <v>494422</v>
      </c>
      <c r="M2495" t="s">
        <v>1668</v>
      </c>
    </row>
    <row r="2496" spans="12:13">
      <c r="L2496" s="66">
        <v>494423</v>
      </c>
      <c r="M2496" t="s">
        <v>1672</v>
      </c>
    </row>
    <row r="2497" spans="12:13">
      <c r="L2497" s="66">
        <v>494424</v>
      </c>
      <c r="M2497" t="s">
        <v>1679</v>
      </c>
    </row>
    <row r="2498" spans="12:13">
      <c r="L2498" s="66">
        <v>494425</v>
      </c>
      <c r="M2498" t="s">
        <v>1682</v>
      </c>
    </row>
    <row r="2499" spans="12:13">
      <c r="L2499" s="66">
        <v>494426</v>
      </c>
      <c r="M2499" t="s">
        <v>1683</v>
      </c>
    </row>
    <row r="2500" spans="12:13">
      <c r="L2500" s="66">
        <v>494430</v>
      </c>
      <c r="M2500" t="s">
        <v>1684</v>
      </c>
    </row>
    <row r="2501" spans="12:13">
      <c r="L2501" s="66">
        <v>494431</v>
      </c>
      <c r="M2501" t="s">
        <v>1684</v>
      </c>
    </row>
    <row r="2502" spans="12:13">
      <c r="L2502" s="66">
        <v>494440</v>
      </c>
      <c r="M2502" t="s">
        <v>1685</v>
      </c>
    </row>
    <row r="2503" spans="12:13">
      <c r="L2503" s="66">
        <v>494441</v>
      </c>
      <c r="M2503" t="s">
        <v>1686</v>
      </c>
    </row>
    <row r="2504" spans="12:13">
      <c r="L2504" s="66">
        <v>494442</v>
      </c>
      <c r="M2504" t="s">
        <v>1687</v>
      </c>
    </row>
    <row r="2505" spans="12:13">
      <c r="L2505" s="66">
        <v>494443</v>
      </c>
      <c r="M2505" t="s">
        <v>1690</v>
      </c>
    </row>
    <row r="2506" spans="12:13">
      <c r="L2506" s="66">
        <v>494500</v>
      </c>
      <c r="M2506" t="s">
        <v>1691</v>
      </c>
    </row>
    <row r="2507" spans="12:13">
      <c r="L2507" s="66">
        <v>494510</v>
      </c>
      <c r="M2507" t="s">
        <v>1692</v>
      </c>
    </row>
    <row r="2508" spans="12:13">
      <c r="L2508" s="66">
        <v>494511</v>
      </c>
      <c r="M2508" t="s">
        <v>1693</v>
      </c>
    </row>
    <row r="2509" spans="12:13">
      <c r="L2509" s="66">
        <v>494512</v>
      </c>
      <c r="M2509" t="s">
        <v>1702</v>
      </c>
    </row>
    <row r="2510" spans="12:13">
      <c r="L2510" s="66">
        <v>494520</v>
      </c>
      <c r="M2510" t="s">
        <v>1709</v>
      </c>
    </row>
    <row r="2511" spans="12:13">
      <c r="L2511" s="66">
        <v>494521</v>
      </c>
      <c r="M2511" t="s">
        <v>1710</v>
      </c>
    </row>
    <row r="2512" spans="12:13">
      <c r="L2512" s="66">
        <v>494522</v>
      </c>
      <c r="M2512" t="s">
        <v>1713</v>
      </c>
    </row>
    <row r="2513" spans="12:13">
      <c r="L2513" s="66">
        <v>494530</v>
      </c>
      <c r="M2513" t="s">
        <v>1716</v>
      </c>
    </row>
    <row r="2514" spans="12:13">
      <c r="L2514" s="66">
        <v>494531</v>
      </c>
      <c r="M2514" t="s">
        <v>1717</v>
      </c>
    </row>
    <row r="2515" spans="12:13">
      <c r="L2515" s="66">
        <v>494532</v>
      </c>
      <c r="M2515" t="s">
        <v>1721</v>
      </c>
    </row>
    <row r="2516" spans="12:13">
      <c r="L2516" s="66">
        <v>494540</v>
      </c>
      <c r="M2516" t="s">
        <v>1724</v>
      </c>
    </row>
    <row r="2517" spans="12:13">
      <c r="L2517" s="66">
        <v>494541</v>
      </c>
      <c r="M2517" t="s">
        <v>1725</v>
      </c>
    </row>
    <row r="2518" spans="12:13">
      <c r="L2518" s="66">
        <v>494542</v>
      </c>
      <c r="M2518" t="s">
        <v>1726</v>
      </c>
    </row>
    <row r="2519" spans="12:13">
      <c r="L2519" s="66">
        <v>494700</v>
      </c>
      <c r="M2519" t="s">
        <v>1965</v>
      </c>
    </row>
    <row r="2520" spans="12:13">
      <c r="L2520" s="66">
        <v>494710</v>
      </c>
      <c r="M2520" t="s">
        <v>1782</v>
      </c>
    </row>
    <row r="2521" spans="12:13">
      <c r="L2521" s="66">
        <v>494711</v>
      </c>
      <c r="M2521" t="s">
        <v>1783</v>
      </c>
    </row>
    <row r="2522" spans="12:13">
      <c r="L2522" s="66">
        <v>494712</v>
      </c>
      <c r="M2522" t="s">
        <v>1818</v>
      </c>
    </row>
    <row r="2523" spans="12:13">
      <c r="L2523" s="66">
        <v>494719</v>
      </c>
      <c r="M2523" t="s">
        <v>1851</v>
      </c>
    </row>
    <row r="2524" spans="12:13">
      <c r="L2524" s="66">
        <v>494720</v>
      </c>
      <c r="M2524" t="s">
        <v>1867</v>
      </c>
    </row>
    <row r="2525" spans="12:13">
      <c r="L2525" s="66">
        <v>494721</v>
      </c>
      <c r="M2525" t="s">
        <v>1868</v>
      </c>
    </row>
    <row r="2526" spans="12:13">
      <c r="L2526" s="66">
        <v>494722</v>
      </c>
      <c r="M2526" t="s">
        <v>1874</v>
      </c>
    </row>
    <row r="2527" spans="12:13">
      <c r="L2527" s="66">
        <v>494723</v>
      </c>
      <c r="M2527" t="s">
        <v>1875</v>
      </c>
    </row>
    <row r="2528" spans="12:13">
      <c r="L2528" s="66">
        <v>494724</v>
      </c>
      <c r="M2528" t="s">
        <v>1966</v>
      </c>
    </row>
    <row r="2529" spans="12:13">
      <c r="L2529" s="66">
        <v>494725</v>
      </c>
      <c r="M2529" t="s">
        <v>1877</v>
      </c>
    </row>
    <row r="2530" spans="12:13">
      <c r="L2530" s="66">
        <v>494726</v>
      </c>
      <c r="M2530" t="s">
        <v>1880</v>
      </c>
    </row>
    <row r="2531" spans="12:13">
      <c r="L2531" s="66">
        <v>494727</v>
      </c>
      <c r="M2531" t="s">
        <v>1881</v>
      </c>
    </row>
    <row r="2532" spans="12:13">
      <c r="L2532" s="66">
        <v>494728</v>
      </c>
      <c r="M2532" t="s">
        <v>1897</v>
      </c>
    </row>
    <row r="2533" spans="12:13">
      <c r="L2533" s="66">
        <v>494729</v>
      </c>
      <c r="M2533" t="s">
        <v>1967</v>
      </c>
    </row>
    <row r="2534" spans="12:13">
      <c r="L2534" s="66">
        <v>494800</v>
      </c>
      <c r="M2534" t="s">
        <v>1903</v>
      </c>
    </row>
    <row r="2535" spans="12:13">
      <c r="L2535" s="66">
        <v>494810</v>
      </c>
      <c r="M2535" t="s">
        <v>1904</v>
      </c>
    </row>
    <row r="2536" spans="12:13">
      <c r="L2536" s="66">
        <v>494811</v>
      </c>
      <c r="M2536" t="s">
        <v>1905</v>
      </c>
    </row>
    <row r="2537" spans="12:13">
      <c r="L2537" s="66">
        <v>494819</v>
      </c>
      <c r="M2537" t="s">
        <v>1912</v>
      </c>
    </row>
    <row r="2538" spans="12:13">
      <c r="L2538" s="66">
        <v>494820</v>
      </c>
      <c r="M2538" t="s">
        <v>1968</v>
      </c>
    </row>
    <row r="2539" spans="12:13">
      <c r="L2539" s="66">
        <v>494821</v>
      </c>
      <c r="M2539" t="s">
        <v>1925</v>
      </c>
    </row>
    <row r="2540" spans="12:13">
      <c r="L2540" s="66">
        <v>494822</v>
      </c>
      <c r="M2540" t="s">
        <v>1938</v>
      </c>
    </row>
    <row r="2541" spans="12:13">
      <c r="L2541" s="66">
        <v>494823</v>
      </c>
      <c r="M2541" t="s">
        <v>1939</v>
      </c>
    </row>
    <row r="2542" spans="12:13">
      <c r="L2542" s="66">
        <v>494830</v>
      </c>
      <c r="M2542" t="s">
        <v>1942</v>
      </c>
    </row>
    <row r="2543" spans="12:13">
      <c r="L2543" s="66">
        <v>494831</v>
      </c>
      <c r="M2543" t="s">
        <v>1942</v>
      </c>
    </row>
    <row r="2544" spans="12:13">
      <c r="L2544" s="66">
        <v>494840</v>
      </c>
      <c r="M2544" t="s">
        <v>1943</v>
      </c>
    </row>
    <row r="2545" spans="12:13">
      <c r="L2545" s="66">
        <v>494841</v>
      </c>
      <c r="M2545" t="s">
        <v>1944</v>
      </c>
    </row>
    <row r="2546" spans="12:13">
      <c r="L2546" s="66">
        <v>494842</v>
      </c>
      <c r="M2546" t="s">
        <v>1945</v>
      </c>
    </row>
    <row r="2547" spans="12:13">
      <c r="L2547" s="66">
        <v>494850</v>
      </c>
      <c r="M2547" t="s">
        <v>1946</v>
      </c>
    </row>
    <row r="2548" spans="12:13">
      <c r="L2548" s="66">
        <v>494851</v>
      </c>
      <c r="M2548" t="s">
        <v>1946</v>
      </c>
    </row>
    <row r="2549" spans="12:13">
      <c r="L2549" s="66">
        <v>495000</v>
      </c>
      <c r="M2549" t="s">
        <v>1969</v>
      </c>
    </row>
    <row r="2550" spans="12:13">
      <c r="L2550" s="66">
        <v>495100</v>
      </c>
      <c r="M2550" t="s">
        <v>1203</v>
      </c>
    </row>
    <row r="2551" spans="12:13">
      <c r="L2551" s="66">
        <v>495110</v>
      </c>
      <c r="M2551" t="s">
        <v>271</v>
      </c>
    </row>
    <row r="2552" spans="12:13">
      <c r="L2552" s="66">
        <v>495111</v>
      </c>
      <c r="M2552" t="s">
        <v>1970</v>
      </c>
    </row>
    <row r="2553" spans="12:13">
      <c r="L2553" s="66">
        <v>495112</v>
      </c>
      <c r="M2553" t="s">
        <v>1971</v>
      </c>
    </row>
    <row r="2554" spans="12:13">
      <c r="L2554" s="66">
        <v>495113</v>
      </c>
      <c r="M2554" t="s">
        <v>1972</v>
      </c>
    </row>
    <row r="2555" spans="12:13">
      <c r="L2555" s="66">
        <v>495114</v>
      </c>
      <c r="M2555" t="s">
        <v>1973</v>
      </c>
    </row>
    <row r="2556" spans="12:13">
      <c r="L2556" s="66">
        <v>495120</v>
      </c>
      <c r="M2556" t="s">
        <v>1974</v>
      </c>
    </row>
    <row r="2557" spans="12:13">
      <c r="L2557" s="66">
        <v>495121</v>
      </c>
      <c r="M2557" t="s">
        <v>328</v>
      </c>
    </row>
    <row r="2558" spans="12:13">
      <c r="L2558" s="66">
        <v>495122</v>
      </c>
      <c r="M2558" t="s">
        <v>337</v>
      </c>
    </row>
    <row r="2559" spans="12:13">
      <c r="L2559" s="66">
        <v>495123</v>
      </c>
      <c r="M2559" t="s">
        <v>347</v>
      </c>
    </row>
    <row r="2560" spans="12:13">
      <c r="L2560" s="66">
        <v>495124</v>
      </c>
      <c r="M2560" t="s">
        <v>352</v>
      </c>
    </row>
    <row r="2561" spans="12:13">
      <c r="L2561" s="66">
        <v>495125</v>
      </c>
      <c r="M2561" t="s">
        <v>357</v>
      </c>
    </row>
    <row r="2562" spans="12:13">
      <c r="L2562" s="66">
        <v>495126</v>
      </c>
      <c r="M2562" t="s">
        <v>366</v>
      </c>
    </row>
    <row r="2563" spans="12:13">
      <c r="L2563" s="66">
        <v>495127</v>
      </c>
      <c r="M2563" t="s">
        <v>375</v>
      </c>
    </row>
    <row r="2564" spans="12:13">
      <c r="L2564" s="66">
        <v>495128</v>
      </c>
      <c r="M2564" t="s">
        <v>380</v>
      </c>
    </row>
    <row r="2565" spans="12:13">
      <c r="L2565" s="66">
        <v>495129</v>
      </c>
      <c r="M2565" t="s">
        <v>385</v>
      </c>
    </row>
    <row r="2566" spans="12:13">
      <c r="L2566" s="66">
        <v>495130</v>
      </c>
      <c r="M2566" t="s">
        <v>394</v>
      </c>
    </row>
    <row r="2567" spans="12:13">
      <c r="L2567" s="66">
        <v>495131</v>
      </c>
      <c r="M2567" t="s">
        <v>394</v>
      </c>
    </row>
    <row r="2568" spans="12:13">
      <c r="L2568" s="66">
        <v>495140</v>
      </c>
      <c r="M2568" t="s">
        <v>399</v>
      </c>
    </row>
    <row r="2569" spans="12:13">
      <c r="L2569" s="66">
        <v>495141</v>
      </c>
      <c r="M2569" t="s">
        <v>399</v>
      </c>
    </row>
    <row r="2570" spans="12:13">
      <c r="L2570" s="66">
        <v>495150</v>
      </c>
      <c r="M2570" t="s">
        <v>491</v>
      </c>
    </row>
    <row r="2571" spans="12:13">
      <c r="L2571" s="66">
        <v>495151</v>
      </c>
      <c r="M2571" t="s">
        <v>491</v>
      </c>
    </row>
    <row r="2572" spans="12:13">
      <c r="L2572" s="66">
        <v>495200</v>
      </c>
      <c r="M2572" t="s">
        <v>523</v>
      </c>
    </row>
    <row r="2573" spans="12:13">
      <c r="L2573" s="66">
        <v>495210</v>
      </c>
      <c r="M2573" t="s">
        <v>524</v>
      </c>
    </row>
    <row r="2574" spans="12:13">
      <c r="L2574" s="66">
        <v>495211</v>
      </c>
      <c r="M2574" t="s">
        <v>524</v>
      </c>
    </row>
    <row r="2575" spans="12:13">
      <c r="L2575" s="66">
        <v>495220</v>
      </c>
      <c r="M2575" t="s">
        <v>528</v>
      </c>
    </row>
    <row r="2576" spans="12:13">
      <c r="L2576" s="66">
        <v>495221</v>
      </c>
      <c r="M2576" t="s">
        <v>1975</v>
      </c>
    </row>
    <row r="2577" spans="12:13">
      <c r="L2577" s="66">
        <v>495222</v>
      </c>
      <c r="M2577" t="s">
        <v>1207</v>
      </c>
    </row>
    <row r="2578" spans="12:13">
      <c r="L2578" s="66">
        <v>495223</v>
      </c>
      <c r="M2578" t="s">
        <v>1208</v>
      </c>
    </row>
    <row r="2579" spans="12:13">
      <c r="L2579" s="66">
        <v>495230</v>
      </c>
      <c r="M2579" t="s">
        <v>1209</v>
      </c>
    </row>
    <row r="2580" spans="12:13">
      <c r="L2580" s="66">
        <v>495231</v>
      </c>
      <c r="M2580" t="s">
        <v>1209</v>
      </c>
    </row>
    <row r="2581" spans="12:13">
      <c r="L2581" s="66">
        <v>495300</v>
      </c>
      <c r="M2581" t="s">
        <v>405</v>
      </c>
    </row>
    <row r="2582" spans="12:13">
      <c r="L2582" s="66">
        <v>495310</v>
      </c>
      <c r="M2582" t="s">
        <v>405</v>
      </c>
    </row>
    <row r="2583" spans="12:13">
      <c r="L2583" s="66">
        <v>495311</v>
      </c>
      <c r="M2583" t="s">
        <v>405</v>
      </c>
    </row>
    <row r="2584" spans="12:13">
      <c r="L2584" s="66">
        <v>495400</v>
      </c>
      <c r="M2584" t="s">
        <v>414</v>
      </c>
    </row>
    <row r="2585" spans="12:13">
      <c r="L2585" s="66">
        <v>495410</v>
      </c>
      <c r="M2585" t="s">
        <v>415</v>
      </c>
    </row>
    <row r="2586" spans="12:13">
      <c r="L2586" s="66">
        <v>495411</v>
      </c>
      <c r="M2586" t="s">
        <v>415</v>
      </c>
    </row>
    <row r="2587" spans="12:13">
      <c r="L2587" s="66">
        <v>495420</v>
      </c>
      <c r="M2587" t="s">
        <v>1976</v>
      </c>
    </row>
    <row r="2588" spans="12:13">
      <c r="L2588" s="66">
        <v>495421</v>
      </c>
      <c r="M2588" t="s">
        <v>425</v>
      </c>
    </row>
    <row r="2589" spans="12:13">
      <c r="L2589" s="66">
        <v>495430</v>
      </c>
      <c r="M2589" t="s">
        <v>431</v>
      </c>
    </row>
    <row r="2590" spans="12:13">
      <c r="L2590" s="66">
        <v>495431</v>
      </c>
      <c r="M2590" t="s">
        <v>432</v>
      </c>
    </row>
    <row r="2591" spans="12:13">
      <c r="L2591" s="66">
        <v>495432</v>
      </c>
      <c r="M2591" t="s">
        <v>436</v>
      </c>
    </row>
    <row r="2592" spans="12:13">
      <c r="L2592" s="66">
        <v>496000</v>
      </c>
      <c r="M2592" t="s">
        <v>1977</v>
      </c>
    </row>
    <row r="2593" spans="12:13">
      <c r="L2593" s="66">
        <v>496100</v>
      </c>
      <c r="M2593" t="s">
        <v>1978</v>
      </c>
    </row>
    <row r="2594" spans="12:13">
      <c r="L2594" s="66">
        <v>496110</v>
      </c>
      <c r="M2594" t="s">
        <v>1979</v>
      </c>
    </row>
    <row r="2595" spans="12:13">
      <c r="L2595" s="66">
        <v>496111</v>
      </c>
      <c r="M2595" t="s">
        <v>1980</v>
      </c>
    </row>
    <row r="2596" spans="12:13">
      <c r="L2596" s="66">
        <v>496112</v>
      </c>
      <c r="M2596" t="s">
        <v>1981</v>
      </c>
    </row>
    <row r="2597" spans="12:13">
      <c r="L2597" s="66">
        <v>496113</v>
      </c>
      <c r="M2597" t="s">
        <v>1982</v>
      </c>
    </row>
    <row r="2598" spans="12:13">
      <c r="L2598" s="66">
        <v>496114</v>
      </c>
      <c r="M2598" t="s">
        <v>1983</v>
      </c>
    </row>
    <row r="2599" spans="12:13">
      <c r="L2599" s="66">
        <v>496115</v>
      </c>
      <c r="M2599" t="s">
        <v>1984</v>
      </c>
    </row>
    <row r="2600" spans="12:13">
      <c r="L2600" s="66">
        <v>496116</v>
      </c>
      <c r="M2600" t="s">
        <v>1985</v>
      </c>
    </row>
    <row r="2601" spans="12:13">
      <c r="L2601" s="66">
        <v>496117</v>
      </c>
      <c r="M2601" t="s">
        <v>1986</v>
      </c>
    </row>
    <row r="2602" spans="12:13">
      <c r="L2602" s="66">
        <v>496118</v>
      </c>
      <c r="M2602" t="s">
        <v>1987</v>
      </c>
    </row>
    <row r="2603" spans="12:13">
      <c r="L2603" s="66">
        <v>496119</v>
      </c>
      <c r="M2603" t="s">
        <v>1988</v>
      </c>
    </row>
    <row r="2604" spans="12:13">
      <c r="L2604" s="66">
        <v>496120</v>
      </c>
      <c r="M2604" t="s">
        <v>1989</v>
      </c>
    </row>
    <row r="2605" spans="12:13">
      <c r="L2605" s="66">
        <v>496121</v>
      </c>
      <c r="M2605" t="s">
        <v>1990</v>
      </c>
    </row>
    <row r="2606" spans="12:13">
      <c r="L2606" s="66">
        <v>496122</v>
      </c>
      <c r="M2606" t="s">
        <v>1991</v>
      </c>
    </row>
    <row r="2607" spans="12:13">
      <c r="L2607" s="66">
        <v>496123</v>
      </c>
      <c r="M2607" t="s">
        <v>1992</v>
      </c>
    </row>
    <row r="2608" spans="12:13">
      <c r="L2608" s="66">
        <v>496124</v>
      </c>
      <c r="M2608" t="s">
        <v>1993</v>
      </c>
    </row>
    <row r="2609" spans="12:13">
      <c r="L2609" s="66">
        <v>496125</v>
      </c>
      <c r="M2609" t="s">
        <v>1994</v>
      </c>
    </row>
    <row r="2610" spans="12:13">
      <c r="L2610" s="66">
        <v>496126</v>
      </c>
      <c r="M2610" t="s">
        <v>1995</v>
      </c>
    </row>
    <row r="2611" spans="12:13">
      <c r="L2611" s="66">
        <v>496129</v>
      </c>
      <c r="M2611" t="s">
        <v>1996</v>
      </c>
    </row>
    <row r="2612" spans="12:13">
      <c r="L2612" s="66">
        <v>496130</v>
      </c>
      <c r="M2612" t="s">
        <v>1997</v>
      </c>
    </row>
    <row r="2613" spans="12:13">
      <c r="L2613" s="66">
        <v>496131</v>
      </c>
      <c r="M2613" t="s">
        <v>1997</v>
      </c>
    </row>
    <row r="2614" spans="12:13">
      <c r="L2614" s="66">
        <v>496140</v>
      </c>
      <c r="M2614" t="s">
        <v>1998</v>
      </c>
    </row>
    <row r="2615" spans="12:13">
      <c r="L2615" s="66">
        <v>496141</v>
      </c>
      <c r="M2615" t="s">
        <v>1998</v>
      </c>
    </row>
    <row r="2616" spans="12:13">
      <c r="L2616" s="66">
        <v>496200</v>
      </c>
      <c r="M2616" t="s">
        <v>1999</v>
      </c>
    </row>
    <row r="2617" spans="12:13">
      <c r="L2617" s="66">
        <v>496210</v>
      </c>
      <c r="M2617" t="s">
        <v>2000</v>
      </c>
    </row>
    <row r="2618" spans="12:13">
      <c r="L2618" s="66">
        <v>496211</v>
      </c>
      <c r="M2618" t="s">
        <v>2001</v>
      </c>
    </row>
    <row r="2619" spans="12:13">
      <c r="L2619" s="66">
        <v>496212</v>
      </c>
      <c r="M2619" t="s">
        <v>568</v>
      </c>
    </row>
    <row r="2620" spans="12:13">
      <c r="L2620" s="66">
        <v>496213</v>
      </c>
      <c r="M2620" t="s">
        <v>583</v>
      </c>
    </row>
    <row r="2621" spans="12:13">
      <c r="L2621" s="66">
        <v>496214</v>
      </c>
      <c r="M2621" t="s">
        <v>590</v>
      </c>
    </row>
    <row r="2622" spans="12:13">
      <c r="L2622" s="66">
        <v>496215</v>
      </c>
      <c r="M2622" t="s">
        <v>592</v>
      </c>
    </row>
    <row r="2623" spans="12:13">
      <c r="L2623" s="66">
        <v>496216</v>
      </c>
      <c r="M2623" t="s">
        <v>594</v>
      </c>
    </row>
    <row r="2624" spans="12:13">
      <c r="L2624" s="66">
        <v>496217</v>
      </c>
      <c r="M2624" t="s">
        <v>2002</v>
      </c>
    </row>
    <row r="2625" spans="12:13">
      <c r="L2625" s="66">
        <v>496218</v>
      </c>
      <c r="M2625" t="s">
        <v>603</v>
      </c>
    </row>
    <row r="2626" spans="12:13">
      <c r="L2626" s="66">
        <v>496219</v>
      </c>
      <c r="M2626" t="s">
        <v>2003</v>
      </c>
    </row>
    <row r="2627" spans="12:13">
      <c r="L2627" s="66">
        <v>496220</v>
      </c>
      <c r="M2627" t="s">
        <v>2004</v>
      </c>
    </row>
    <row r="2628" spans="12:13">
      <c r="L2628" s="66">
        <v>496221</v>
      </c>
      <c r="M2628" t="s">
        <v>2005</v>
      </c>
    </row>
    <row r="2629" spans="12:13">
      <c r="L2629" s="66">
        <v>496222</v>
      </c>
      <c r="M2629" t="s">
        <v>620</v>
      </c>
    </row>
    <row r="2630" spans="12:13">
      <c r="L2630" s="66">
        <v>496223</v>
      </c>
      <c r="M2630" t="s">
        <v>622</v>
      </c>
    </row>
    <row r="2631" spans="12:13">
      <c r="L2631" s="66">
        <v>496224</v>
      </c>
      <c r="M2631" t="s">
        <v>624</v>
      </c>
    </row>
    <row r="2632" spans="12:13">
      <c r="L2632" s="66">
        <v>496225</v>
      </c>
      <c r="M2632" t="s">
        <v>626</v>
      </c>
    </row>
    <row r="2633" spans="12:13">
      <c r="L2633" s="66">
        <v>496226</v>
      </c>
      <c r="M2633" t="s">
        <v>628</v>
      </c>
    </row>
    <row r="2634" spans="12:13">
      <c r="L2634" s="66">
        <v>496227</v>
      </c>
      <c r="M2634" t="s">
        <v>2006</v>
      </c>
    </row>
    <row r="2635" spans="12:13">
      <c r="L2635" s="66">
        <v>496228</v>
      </c>
      <c r="M2635" t="s">
        <v>2007</v>
      </c>
    </row>
    <row r="2636" spans="12:13">
      <c r="L2636" s="66">
        <v>499000</v>
      </c>
      <c r="M2636" t="s">
        <v>2008</v>
      </c>
    </row>
    <row r="2637" spans="12:13">
      <c r="L2637" s="66">
        <v>499100</v>
      </c>
      <c r="M2637" t="s">
        <v>2008</v>
      </c>
    </row>
    <row r="2638" spans="12:13">
      <c r="L2638" s="66">
        <v>499110</v>
      </c>
      <c r="M2638" t="s">
        <v>2009</v>
      </c>
    </row>
    <row r="2639" spans="12:13">
      <c r="L2639" s="66">
        <v>499111</v>
      </c>
      <c r="M2639" t="s">
        <v>2009</v>
      </c>
    </row>
    <row r="2640" spans="12:13">
      <c r="L2640" s="66">
        <v>499120</v>
      </c>
      <c r="M2640" t="s">
        <v>2010</v>
      </c>
    </row>
    <row r="2641" spans="12:13">
      <c r="L2641" s="66">
        <v>499121</v>
      </c>
      <c r="M2641" t="s">
        <v>2010</v>
      </c>
    </row>
    <row r="2642" spans="12:13">
      <c r="L2642" s="66">
        <v>500000</v>
      </c>
      <c r="M2642" t="s">
        <v>1969</v>
      </c>
    </row>
    <row r="2643" spans="12:13">
      <c r="L2643" s="66">
        <v>510000</v>
      </c>
      <c r="M2643" t="s">
        <v>1203</v>
      </c>
    </row>
    <row r="2644" spans="12:13">
      <c r="L2644" s="66">
        <v>511000</v>
      </c>
      <c r="M2644" t="s">
        <v>271</v>
      </c>
    </row>
    <row r="2645" spans="12:13">
      <c r="L2645" s="66">
        <v>511100</v>
      </c>
      <c r="M2645" t="s">
        <v>1970</v>
      </c>
    </row>
    <row r="2646" spans="12:13">
      <c r="L2646" s="66">
        <v>511110</v>
      </c>
      <c r="M2646" t="s">
        <v>2011</v>
      </c>
    </row>
    <row r="2647" spans="12:13">
      <c r="L2647" s="66">
        <v>511111</v>
      </c>
      <c r="M2647" t="s">
        <v>2012</v>
      </c>
    </row>
    <row r="2648" spans="12:13">
      <c r="L2648" s="66">
        <v>511112</v>
      </c>
      <c r="M2648" t="s">
        <v>2013</v>
      </c>
    </row>
    <row r="2649" spans="12:13">
      <c r="L2649" s="66">
        <v>511113</v>
      </c>
      <c r="M2649" t="s">
        <v>2014</v>
      </c>
    </row>
    <row r="2650" spans="12:13">
      <c r="L2650" s="66">
        <v>511118</v>
      </c>
      <c r="M2650" t="s">
        <v>2015</v>
      </c>
    </row>
    <row r="2651" spans="12:13">
      <c r="L2651" s="66">
        <v>511119</v>
      </c>
      <c r="M2651" t="s">
        <v>2016</v>
      </c>
    </row>
    <row r="2652" spans="12:13">
      <c r="L2652" s="66">
        <v>511120</v>
      </c>
      <c r="M2652" t="s">
        <v>2017</v>
      </c>
    </row>
    <row r="2653" spans="12:13">
      <c r="L2653" s="66">
        <v>511121</v>
      </c>
      <c r="M2653" t="s">
        <v>2018</v>
      </c>
    </row>
    <row r="2654" spans="12:13">
      <c r="L2654" s="66">
        <v>511122</v>
      </c>
      <c r="M2654" t="s">
        <v>2019</v>
      </c>
    </row>
    <row r="2655" spans="12:13">
      <c r="L2655" s="66">
        <v>511123</v>
      </c>
      <c r="M2655" t="s">
        <v>2020</v>
      </c>
    </row>
    <row r="2656" spans="12:13">
      <c r="L2656" s="66">
        <v>511124</v>
      </c>
      <c r="M2656" t="s">
        <v>2021</v>
      </c>
    </row>
    <row r="2657" spans="12:13">
      <c r="L2657" s="66">
        <v>511125</v>
      </c>
      <c r="M2657" t="s">
        <v>2022</v>
      </c>
    </row>
    <row r="2658" spans="12:13">
      <c r="L2658" s="66">
        <v>511126</v>
      </c>
      <c r="M2658" t="s">
        <v>2023</v>
      </c>
    </row>
    <row r="2659" spans="12:13">
      <c r="L2659" s="66">
        <v>511127</v>
      </c>
      <c r="M2659" t="s">
        <v>2024</v>
      </c>
    </row>
    <row r="2660" spans="12:13">
      <c r="L2660" s="66">
        <v>511129</v>
      </c>
      <c r="M2660" t="s">
        <v>2025</v>
      </c>
    </row>
    <row r="2661" spans="12:13">
      <c r="L2661" s="66">
        <v>511190</v>
      </c>
      <c r="M2661" t="s">
        <v>2026</v>
      </c>
    </row>
    <row r="2662" spans="12:13">
      <c r="L2662" s="66">
        <v>511191</v>
      </c>
      <c r="M2662" t="s">
        <v>2027</v>
      </c>
    </row>
    <row r="2663" spans="12:13">
      <c r="L2663" s="66">
        <v>511192</v>
      </c>
      <c r="M2663" t="s">
        <v>2028</v>
      </c>
    </row>
    <row r="2664" spans="12:13">
      <c r="L2664" s="66">
        <v>511193</v>
      </c>
      <c r="M2664" t="s">
        <v>2029</v>
      </c>
    </row>
    <row r="2665" spans="12:13">
      <c r="L2665" s="66">
        <v>511199</v>
      </c>
      <c r="M2665" t="s">
        <v>323</v>
      </c>
    </row>
    <row r="2666" spans="12:13">
      <c r="L2666" s="66">
        <v>511200</v>
      </c>
      <c r="M2666" t="s">
        <v>1971</v>
      </c>
    </row>
    <row r="2667" spans="12:13">
      <c r="L2667" s="66">
        <v>511210</v>
      </c>
      <c r="M2667" t="s">
        <v>2030</v>
      </c>
    </row>
    <row r="2668" spans="12:13">
      <c r="L2668" s="66">
        <v>511211</v>
      </c>
      <c r="M2668" t="s">
        <v>2031</v>
      </c>
    </row>
    <row r="2669" spans="12:13">
      <c r="L2669" s="66">
        <v>511212</v>
      </c>
      <c r="M2669" t="s">
        <v>2032</v>
      </c>
    </row>
    <row r="2670" spans="12:13">
      <c r="L2670" s="66">
        <v>511213</v>
      </c>
      <c r="M2670" t="s">
        <v>2033</v>
      </c>
    </row>
    <row r="2671" spans="12:13">
      <c r="L2671" s="66">
        <v>511219</v>
      </c>
      <c r="M2671" t="s">
        <v>2034</v>
      </c>
    </row>
    <row r="2672" spans="12:13">
      <c r="L2672" s="66">
        <v>511220</v>
      </c>
      <c r="M2672" t="s">
        <v>2035</v>
      </c>
    </row>
    <row r="2673" spans="12:13">
      <c r="L2673" s="66">
        <v>511221</v>
      </c>
      <c r="M2673" t="s">
        <v>2036</v>
      </c>
    </row>
    <row r="2674" spans="12:13">
      <c r="L2674" s="66">
        <v>511222</v>
      </c>
      <c r="M2674" t="s">
        <v>282</v>
      </c>
    </row>
    <row r="2675" spans="12:13">
      <c r="L2675" s="66">
        <v>511223</v>
      </c>
      <c r="M2675" t="s">
        <v>289</v>
      </c>
    </row>
    <row r="2676" spans="12:13">
      <c r="L2676" s="66">
        <v>511224</v>
      </c>
      <c r="M2676" t="s">
        <v>2037</v>
      </c>
    </row>
    <row r="2677" spans="12:13">
      <c r="L2677" s="66">
        <v>511225</v>
      </c>
      <c r="M2677" t="s">
        <v>2038</v>
      </c>
    </row>
    <row r="2678" spans="12:13">
      <c r="L2678" s="66">
        <v>511226</v>
      </c>
      <c r="M2678" t="s">
        <v>2039</v>
      </c>
    </row>
    <row r="2679" spans="12:13">
      <c r="L2679" s="66">
        <v>511227</v>
      </c>
      <c r="M2679" t="s">
        <v>292</v>
      </c>
    </row>
    <row r="2680" spans="12:13">
      <c r="L2680" s="66">
        <v>511228</v>
      </c>
      <c r="M2680" t="s">
        <v>293</v>
      </c>
    </row>
    <row r="2681" spans="12:13">
      <c r="L2681" s="66">
        <v>511230</v>
      </c>
      <c r="M2681" t="s">
        <v>2040</v>
      </c>
    </row>
    <row r="2682" spans="12:13">
      <c r="L2682" s="66">
        <v>511231</v>
      </c>
      <c r="M2682" t="s">
        <v>2041</v>
      </c>
    </row>
    <row r="2683" spans="12:13">
      <c r="L2683" s="66">
        <v>511232</v>
      </c>
      <c r="M2683" t="s">
        <v>300</v>
      </c>
    </row>
    <row r="2684" spans="12:13">
      <c r="L2684" s="66">
        <v>511233</v>
      </c>
      <c r="M2684" t="s">
        <v>301</v>
      </c>
    </row>
    <row r="2685" spans="12:13">
      <c r="L2685" s="66">
        <v>511240</v>
      </c>
      <c r="M2685" t="s">
        <v>2042</v>
      </c>
    </row>
    <row r="2686" spans="12:13">
      <c r="L2686" s="66">
        <v>511241</v>
      </c>
      <c r="M2686" t="s">
        <v>308</v>
      </c>
    </row>
    <row r="2687" spans="12:13">
      <c r="L2687" s="66">
        <v>511242</v>
      </c>
      <c r="M2687" t="s">
        <v>309</v>
      </c>
    </row>
    <row r="2688" spans="12:13">
      <c r="L2688" s="66">
        <v>511243</v>
      </c>
      <c r="M2688" t="s">
        <v>310</v>
      </c>
    </row>
    <row r="2689" spans="12:13">
      <c r="L2689" s="66">
        <v>511244</v>
      </c>
      <c r="M2689" t="s">
        <v>311</v>
      </c>
    </row>
    <row r="2690" spans="12:13">
      <c r="L2690" s="66">
        <v>511290</v>
      </c>
      <c r="M2690" t="s">
        <v>2043</v>
      </c>
    </row>
    <row r="2691" spans="12:13">
      <c r="L2691" s="66">
        <v>511291</v>
      </c>
      <c r="M2691" t="s">
        <v>2044</v>
      </c>
    </row>
    <row r="2692" spans="12:13">
      <c r="L2692" s="66">
        <v>511292</v>
      </c>
      <c r="M2692" t="s">
        <v>319</v>
      </c>
    </row>
    <row r="2693" spans="12:13">
      <c r="L2693" s="66">
        <v>511293</v>
      </c>
      <c r="M2693" t="s">
        <v>2045</v>
      </c>
    </row>
    <row r="2694" spans="12:13">
      <c r="L2694" s="66">
        <v>511294</v>
      </c>
      <c r="M2694" t="s">
        <v>321</v>
      </c>
    </row>
    <row r="2695" spans="12:13">
      <c r="L2695" s="66">
        <v>511295</v>
      </c>
      <c r="M2695" t="s">
        <v>322</v>
      </c>
    </row>
    <row r="2696" spans="12:13">
      <c r="L2696" s="66">
        <v>511296</v>
      </c>
      <c r="M2696" t="s">
        <v>2046</v>
      </c>
    </row>
    <row r="2697" spans="12:13">
      <c r="L2697" s="66">
        <v>511299</v>
      </c>
      <c r="M2697" t="s">
        <v>2043</v>
      </c>
    </row>
    <row r="2698" spans="12:13">
      <c r="L2698" s="66">
        <v>511300</v>
      </c>
      <c r="M2698" t="s">
        <v>1972</v>
      </c>
    </row>
    <row r="2699" spans="12:13">
      <c r="L2699" s="66">
        <v>511310</v>
      </c>
      <c r="M2699" t="s">
        <v>2047</v>
      </c>
    </row>
    <row r="2700" spans="12:13">
      <c r="L2700" s="66">
        <v>511311</v>
      </c>
      <c r="M2700" t="s">
        <v>2048</v>
      </c>
    </row>
    <row r="2701" spans="12:13">
      <c r="L2701" s="66">
        <v>511312</v>
      </c>
      <c r="M2701" t="s">
        <v>2049</v>
      </c>
    </row>
    <row r="2702" spans="12:13">
      <c r="L2702" s="66">
        <v>511313</v>
      </c>
      <c r="M2702" t="s">
        <v>2050</v>
      </c>
    </row>
    <row r="2703" spans="12:13">
      <c r="L2703" s="66">
        <v>511319</v>
      </c>
      <c r="M2703" t="s">
        <v>2051</v>
      </c>
    </row>
    <row r="2704" spans="12:13">
      <c r="L2704" s="66">
        <v>511320</v>
      </c>
      <c r="M2704" t="s">
        <v>2052</v>
      </c>
    </row>
    <row r="2705" spans="12:13">
      <c r="L2705" s="66">
        <v>511321</v>
      </c>
      <c r="M2705" t="s">
        <v>2052</v>
      </c>
    </row>
    <row r="2706" spans="12:13">
      <c r="L2706" s="66">
        <v>511322</v>
      </c>
      <c r="M2706" t="s">
        <v>2053</v>
      </c>
    </row>
    <row r="2707" spans="12:13">
      <c r="L2707" s="66">
        <v>511323</v>
      </c>
      <c r="M2707" t="s">
        <v>2054</v>
      </c>
    </row>
    <row r="2708" spans="12:13">
      <c r="L2708" s="66">
        <v>511324</v>
      </c>
      <c r="M2708" t="s">
        <v>2055</v>
      </c>
    </row>
    <row r="2709" spans="12:13">
      <c r="L2709" s="66">
        <v>511325</v>
      </c>
      <c r="M2709" t="s">
        <v>2056</v>
      </c>
    </row>
    <row r="2710" spans="12:13">
      <c r="L2710" s="66">
        <v>511326</v>
      </c>
      <c r="M2710" t="s">
        <v>2057</v>
      </c>
    </row>
    <row r="2711" spans="12:13">
      <c r="L2711" s="66">
        <v>511327</v>
      </c>
      <c r="M2711" t="s">
        <v>2058</v>
      </c>
    </row>
    <row r="2712" spans="12:13">
      <c r="L2712" s="66">
        <v>511328</v>
      </c>
      <c r="M2712" t="s">
        <v>2059</v>
      </c>
    </row>
    <row r="2713" spans="12:13">
      <c r="L2713" s="66">
        <v>511330</v>
      </c>
      <c r="M2713" t="s">
        <v>2060</v>
      </c>
    </row>
    <row r="2714" spans="12:13">
      <c r="L2714" s="66">
        <v>511331</v>
      </c>
      <c r="M2714" t="s">
        <v>2061</v>
      </c>
    </row>
    <row r="2715" spans="12:13">
      <c r="L2715" s="66">
        <v>511332</v>
      </c>
      <c r="M2715" t="s">
        <v>2062</v>
      </c>
    </row>
    <row r="2716" spans="12:13">
      <c r="L2716" s="66">
        <v>511333</v>
      </c>
      <c r="M2716" t="s">
        <v>2063</v>
      </c>
    </row>
    <row r="2717" spans="12:13">
      <c r="L2717" s="66">
        <v>511340</v>
      </c>
      <c r="M2717" t="s">
        <v>2064</v>
      </c>
    </row>
    <row r="2718" spans="12:13">
      <c r="L2718" s="66">
        <v>511341</v>
      </c>
      <c r="M2718" t="s">
        <v>2065</v>
      </c>
    </row>
    <row r="2719" spans="12:13">
      <c r="L2719" s="66">
        <v>511342</v>
      </c>
      <c r="M2719" t="s">
        <v>2066</v>
      </c>
    </row>
    <row r="2720" spans="12:13">
      <c r="L2720" s="66">
        <v>511343</v>
      </c>
      <c r="M2720" t="s">
        <v>2067</v>
      </c>
    </row>
    <row r="2721" spans="12:13">
      <c r="L2721" s="66">
        <v>511344</v>
      </c>
      <c r="M2721" t="s">
        <v>2068</v>
      </c>
    </row>
    <row r="2722" spans="12:13">
      <c r="L2722" s="66">
        <v>511390</v>
      </c>
      <c r="M2722" t="s">
        <v>2069</v>
      </c>
    </row>
    <row r="2723" spans="12:13">
      <c r="L2723" s="66">
        <v>511391</v>
      </c>
      <c r="M2723" t="s">
        <v>2070</v>
      </c>
    </row>
    <row r="2724" spans="12:13">
      <c r="L2724" s="66">
        <v>511392</v>
      </c>
      <c r="M2724" t="s">
        <v>2071</v>
      </c>
    </row>
    <row r="2725" spans="12:13">
      <c r="L2725" s="66">
        <v>511393</v>
      </c>
      <c r="M2725" t="s">
        <v>2072</v>
      </c>
    </row>
    <row r="2726" spans="12:13">
      <c r="L2726" s="66">
        <v>511394</v>
      </c>
      <c r="M2726" t="s">
        <v>2073</v>
      </c>
    </row>
    <row r="2727" spans="12:13">
      <c r="L2727" s="66">
        <v>511395</v>
      </c>
      <c r="M2727" t="s">
        <v>2074</v>
      </c>
    </row>
    <row r="2728" spans="12:13">
      <c r="L2728" s="66">
        <v>511396</v>
      </c>
      <c r="M2728" t="s">
        <v>2075</v>
      </c>
    </row>
    <row r="2729" spans="12:13">
      <c r="L2729" s="66">
        <v>511399</v>
      </c>
      <c r="M2729" t="s">
        <v>2069</v>
      </c>
    </row>
    <row r="2730" spans="12:13">
      <c r="L2730" s="66">
        <v>511400</v>
      </c>
      <c r="M2730" t="s">
        <v>1973</v>
      </c>
    </row>
    <row r="2731" spans="12:13">
      <c r="L2731" s="66">
        <v>511410</v>
      </c>
      <c r="M2731" t="s">
        <v>2076</v>
      </c>
    </row>
    <row r="2732" spans="12:13">
      <c r="L2732" s="66">
        <v>511411</v>
      </c>
      <c r="M2732" t="s">
        <v>2076</v>
      </c>
    </row>
    <row r="2733" spans="12:13">
      <c r="L2733" s="66">
        <v>511420</v>
      </c>
      <c r="M2733" t="s">
        <v>2077</v>
      </c>
    </row>
    <row r="2734" spans="12:13">
      <c r="L2734" s="66">
        <v>511421</v>
      </c>
      <c r="M2734" t="s">
        <v>2077</v>
      </c>
    </row>
    <row r="2735" spans="12:13">
      <c r="L2735" s="66">
        <v>511430</v>
      </c>
      <c r="M2735" t="s">
        <v>2078</v>
      </c>
    </row>
    <row r="2736" spans="12:13">
      <c r="L2736" s="66">
        <v>511431</v>
      </c>
      <c r="M2736" t="s">
        <v>2078</v>
      </c>
    </row>
    <row r="2737" spans="12:13">
      <c r="L2737" s="66">
        <v>511440</v>
      </c>
      <c r="M2737" t="s">
        <v>2079</v>
      </c>
    </row>
    <row r="2738" spans="12:13">
      <c r="L2738" s="66">
        <v>511441</v>
      </c>
      <c r="M2738" t="s">
        <v>2079</v>
      </c>
    </row>
    <row r="2739" spans="12:13">
      <c r="L2739" s="66">
        <v>511450</v>
      </c>
      <c r="M2739" t="s">
        <v>2080</v>
      </c>
    </row>
    <row r="2740" spans="12:13">
      <c r="L2740" s="66">
        <v>511451</v>
      </c>
      <c r="M2740" t="s">
        <v>2080</v>
      </c>
    </row>
    <row r="2741" spans="12:13">
      <c r="L2741" s="66">
        <v>512000</v>
      </c>
      <c r="M2741" t="s">
        <v>1974</v>
      </c>
    </row>
    <row r="2742" spans="12:13">
      <c r="L2742" s="66">
        <v>512100</v>
      </c>
      <c r="M2742" t="s">
        <v>328</v>
      </c>
    </row>
    <row r="2743" spans="12:13">
      <c r="L2743" s="66">
        <v>512110</v>
      </c>
      <c r="M2743" t="s">
        <v>329</v>
      </c>
    </row>
    <row r="2744" spans="12:13">
      <c r="L2744" s="66">
        <v>512111</v>
      </c>
      <c r="M2744" t="s">
        <v>2081</v>
      </c>
    </row>
    <row r="2745" spans="12:13">
      <c r="L2745" s="66">
        <v>512112</v>
      </c>
      <c r="M2745" t="s">
        <v>2082</v>
      </c>
    </row>
    <row r="2746" spans="12:13">
      <c r="L2746" s="66">
        <v>512113</v>
      </c>
      <c r="M2746" t="s">
        <v>2083</v>
      </c>
    </row>
    <row r="2747" spans="12:13">
      <c r="L2747" s="66">
        <v>512114</v>
      </c>
      <c r="M2747" t="s">
        <v>2084</v>
      </c>
    </row>
    <row r="2748" spans="12:13">
      <c r="L2748" s="66">
        <v>512115</v>
      </c>
      <c r="M2748" t="s">
        <v>2085</v>
      </c>
    </row>
    <row r="2749" spans="12:13">
      <c r="L2749" s="66">
        <v>512116</v>
      </c>
      <c r="M2749" t="s">
        <v>2086</v>
      </c>
    </row>
    <row r="2750" spans="12:13">
      <c r="L2750" s="66">
        <v>512117</v>
      </c>
      <c r="M2750" t="s">
        <v>2087</v>
      </c>
    </row>
    <row r="2751" spans="12:13">
      <c r="L2751" s="66">
        <v>512120</v>
      </c>
      <c r="M2751" t="s">
        <v>330</v>
      </c>
    </row>
    <row r="2752" spans="12:13">
      <c r="L2752" s="66">
        <v>512121</v>
      </c>
      <c r="M2752" t="s">
        <v>2088</v>
      </c>
    </row>
    <row r="2753" spans="12:13">
      <c r="L2753" s="66">
        <v>512122</v>
      </c>
      <c r="M2753" t="s">
        <v>2089</v>
      </c>
    </row>
    <row r="2754" spans="12:13">
      <c r="L2754" s="66">
        <v>512130</v>
      </c>
      <c r="M2754" t="s">
        <v>331</v>
      </c>
    </row>
    <row r="2755" spans="12:13">
      <c r="L2755" s="66">
        <v>512131</v>
      </c>
      <c r="M2755" t="s">
        <v>2090</v>
      </c>
    </row>
    <row r="2756" spans="12:13">
      <c r="L2756" s="66">
        <v>512132</v>
      </c>
      <c r="M2756" t="s">
        <v>2091</v>
      </c>
    </row>
    <row r="2757" spans="12:13">
      <c r="L2757" s="66">
        <v>512140</v>
      </c>
      <c r="M2757" t="s">
        <v>333</v>
      </c>
    </row>
    <row r="2758" spans="12:13">
      <c r="L2758" s="66">
        <v>512141</v>
      </c>
      <c r="M2758" t="s">
        <v>333</v>
      </c>
    </row>
    <row r="2759" spans="12:13">
      <c r="L2759" s="66">
        <v>512200</v>
      </c>
      <c r="M2759" t="s">
        <v>337</v>
      </c>
    </row>
    <row r="2760" spans="12:13">
      <c r="L2760" s="66">
        <v>512210</v>
      </c>
      <c r="M2760" t="s">
        <v>338</v>
      </c>
    </row>
    <row r="2761" spans="12:13">
      <c r="L2761" s="66">
        <v>512211</v>
      </c>
      <c r="M2761" t="s">
        <v>1539</v>
      </c>
    </row>
    <row r="2762" spans="12:13">
      <c r="L2762" s="66">
        <v>512212</v>
      </c>
      <c r="M2762" t="s">
        <v>1542</v>
      </c>
    </row>
    <row r="2763" spans="12:13">
      <c r="L2763" s="66">
        <v>512213</v>
      </c>
      <c r="M2763" t="s">
        <v>2092</v>
      </c>
    </row>
    <row r="2764" spans="12:13">
      <c r="L2764" s="66">
        <v>512220</v>
      </c>
      <c r="M2764" t="s">
        <v>339</v>
      </c>
    </row>
    <row r="2765" spans="12:13">
      <c r="L2765" s="66">
        <v>512221</v>
      </c>
      <c r="M2765" t="s">
        <v>339</v>
      </c>
    </row>
    <row r="2766" spans="12:13">
      <c r="L2766" s="66">
        <v>512222</v>
      </c>
      <c r="M2766" t="s">
        <v>2093</v>
      </c>
    </row>
    <row r="2767" spans="12:13">
      <c r="L2767" s="66">
        <v>512223</v>
      </c>
      <c r="M2767" t="s">
        <v>2094</v>
      </c>
    </row>
    <row r="2768" spans="12:13">
      <c r="L2768" s="66">
        <v>512230</v>
      </c>
      <c r="M2768" t="s">
        <v>340</v>
      </c>
    </row>
    <row r="2769" spans="12:13">
      <c r="L2769" s="66">
        <v>512231</v>
      </c>
      <c r="M2769" t="s">
        <v>2095</v>
      </c>
    </row>
    <row r="2770" spans="12:13">
      <c r="L2770" s="66">
        <v>512232</v>
      </c>
      <c r="M2770" t="s">
        <v>1369</v>
      </c>
    </row>
    <row r="2771" spans="12:13">
      <c r="L2771" s="66">
        <v>512233</v>
      </c>
      <c r="M2771" t="s">
        <v>2096</v>
      </c>
    </row>
    <row r="2772" spans="12:13">
      <c r="L2772" s="66">
        <v>512240</v>
      </c>
      <c r="M2772" t="s">
        <v>341</v>
      </c>
    </row>
    <row r="2773" spans="12:13">
      <c r="L2773" s="66">
        <v>512241</v>
      </c>
      <c r="M2773" t="s">
        <v>2097</v>
      </c>
    </row>
    <row r="2774" spans="12:13">
      <c r="L2774" s="66">
        <v>512242</v>
      </c>
      <c r="M2774" t="s">
        <v>2098</v>
      </c>
    </row>
    <row r="2775" spans="12:13">
      <c r="L2775" s="66">
        <v>512250</v>
      </c>
      <c r="M2775" t="s">
        <v>342</v>
      </c>
    </row>
    <row r="2776" spans="12:13">
      <c r="L2776" s="66">
        <v>512251</v>
      </c>
      <c r="M2776" t="s">
        <v>2099</v>
      </c>
    </row>
    <row r="2777" spans="12:13">
      <c r="L2777" s="66">
        <v>512252</v>
      </c>
      <c r="M2777" t="s">
        <v>2100</v>
      </c>
    </row>
    <row r="2778" spans="12:13">
      <c r="L2778" s="66">
        <v>512260</v>
      </c>
      <c r="M2778" t="s">
        <v>343</v>
      </c>
    </row>
    <row r="2779" spans="12:13">
      <c r="L2779" s="66">
        <v>512261</v>
      </c>
      <c r="M2779" t="s">
        <v>343</v>
      </c>
    </row>
    <row r="2780" spans="12:13">
      <c r="L2780" s="66">
        <v>512300</v>
      </c>
      <c r="M2780" t="s">
        <v>347</v>
      </c>
    </row>
    <row r="2781" spans="12:13">
      <c r="L2781" s="66">
        <v>512310</v>
      </c>
      <c r="M2781" t="s">
        <v>2101</v>
      </c>
    </row>
    <row r="2782" spans="12:13">
      <c r="L2782" s="66">
        <v>512311</v>
      </c>
      <c r="M2782" t="s">
        <v>2101</v>
      </c>
    </row>
    <row r="2783" spans="12:13">
      <c r="L2783" s="66">
        <v>512320</v>
      </c>
      <c r="M2783" t="s">
        <v>2102</v>
      </c>
    </row>
    <row r="2784" spans="12:13">
      <c r="L2784" s="66">
        <v>512321</v>
      </c>
      <c r="M2784" t="s">
        <v>2102</v>
      </c>
    </row>
    <row r="2785" spans="12:13">
      <c r="L2785" s="66">
        <v>512400</v>
      </c>
      <c r="M2785" t="s">
        <v>352</v>
      </c>
    </row>
    <row r="2786" spans="12:13">
      <c r="L2786" s="66">
        <v>512410</v>
      </c>
      <c r="M2786" t="s">
        <v>352</v>
      </c>
    </row>
    <row r="2787" spans="12:13">
      <c r="L2787" s="66">
        <v>512411</v>
      </c>
      <c r="M2787" t="s">
        <v>352</v>
      </c>
    </row>
    <row r="2788" spans="12:13">
      <c r="L2788" s="66">
        <v>512420</v>
      </c>
      <c r="M2788" t="s">
        <v>353</v>
      </c>
    </row>
    <row r="2789" spans="12:13">
      <c r="L2789" s="66">
        <v>512421</v>
      </c>
      <c r="M2789" t="s">
        <v>353</v>
      </c>
    </row>
    <row r="2790" spans="12:13">
      <c r="L2790" s="66">
        <v>512500</v>
      </c>
      <c r="M2790" t="s">
        <v>357</v>
      </c>
    </row>
    <row r="2791" spans="12:13">
      <c r="L2791" s="66">
        <v>512510</v>
      </c>
      <c r="M2791" t="s">
        <v>358</v>
      </c>
    </row>
    <row r="2792" spans="12:13">
      <c r="L2792" s="66">
        <v>512511</v>
      </c>
      <c r="M2792" t="s">
        <v>358</v>
      </c>
    </row>
    <row r="2793" spans="12:13">
      <c r="L2793" s="66">
        <v>512520</v>
      </c>
      <c r="M2793" t="s">
        <v>359</v>
      </c>
    </row>
    <row r="2794" spans="12:13">
      <c r="L2794" s="66">
        <v>512521</v>
      </c>
      <c r="M2794" t="s">
        <v>359</v>
      </c>
    </row>
    <row r="2795" spans="12:13">
      <c r="L2795" s="66">
        <v>512530</v>
      </c>
      <c r="M2795" t="s">
        <v>360</v>
      </c>
    </row>
    <row r="2796" spans="12:13">
      <c r="L2796" s="66">
        <v>512531</v>
      </c>
      <c r="M2796" t="s">
        <v>360</v>
      </c>
    </row>
    <row r="2797" spans="12:13">
      <c r="L2797" s="66">
        <v>512540</v>
      </c>
      <c r="M2797" t="s">
        <v>362</v>
      </c>
    </row>
    <row r="2798" spans="12:13">
      <c r="L2798" s="66">
        <v>512541</v>
      </c>
      <c r="M2798" t="s">
        <v>362</v>
      </c>
    </row>
    <row r="2799" spans="12:13">
      <c r="L2799" s="66">
        <v>512600</v>
      </c>
      <c r="M2799" t="s">
        <v>366</v>
      </c>
    </row>
    <row r="2800" spans="12:13">
      <c r="L2800" s="66">
        <v>512610</v>
      </c>
      <c r="M2800" t="s">
        <v>367</v>
      </c>
    </row>
    <row r="2801" spans="12:13">
      <c r="L2801" s="66">
        <v>512611</v>
      </c>
      <c r="M2801" t="s">
        <v>367</v>
      </c>
    </row>
    <row r="2802" spans="12:13">
      <c r="L2802" s="66">
        <v>512620</v>
      </c>
      <c r="M2802" t="s">
        <v>368</v>
      </c>
    </row>
    <row r="2803" spans="12:13">
      <c r="L2803" s="66">
        <v>512621</v>
      </c>
      <c r="M2803" t="s">
        <v>368</v>
      </c>
    </row>
    <row r="2804" spans="12:13">
      <c r="L2804" s="66">
        <v>512630</v>
      </c>
      <c r="M2804" t="s">
        <v>369</v>
      </c>
    </row>
    <row r="2805" spans="12:13">
      <c r="L2805" s="66">
        <v>512631</v>
      </c>
      <c r="M2805" t="s">
        <v>369</v>
      </c>
    </row>
    <row r="2806" spans="12:13">
      <c r="L2806" s="66">
        <v>512640</v>
      </c>
      <c r="M2806" t="s">
        <v>370</v>
      </c>
    </row>
    <row r="2807" spans="12:13">
      <c r="L2807" s="66">
        <v>512641</v>
      </c>
      <c r="M2807" t="s">
        <v>370</v>
      </c>
    </row>
    <row r="2808" spans="12:13">
      <c r="L2808" s="66">
        <v>512650</v>
      </c>
      <c r="M2808" t="s">
        <v>371</v>
      </c>
    </row>
    <row r="2809" spans="12:13">
      <c r="L2809" s="66">
        <v>512651</v>
      </c>
      <c r="M2809" t="s">
        <v>371</v>
      </c>
    </row>
    <row r="2810" spans="12:13">
      <c r="L2810" s="66">
        <v>512700</v>
      </c>
      <c r="M2810" t="s">
        <v>375</v>
      </c>
    </row>
    <row r="2811" spans="12:13">
      <c r="L2811" s="66">
        <v>512710</v>
      </c>
      <c r="M2811" t="s">
        <v>375</v>
      </c>
    </row>
    <row r="2812" spans="12:13">
      <c r="L2812" s="66">
        <v>512711</v>
      </c>
      <c r="M2812" t="s">
        <v>375</v>
      </c>
    </row>
    <row r="2813" spans="12:13">
      <c r="L2813" s="66">
        <v>512720</v>
      </c>
      <c r="M2813" t="s">
        <v>2103</v>
      </c>
    </row>
    <row r="2814" spans="12:13">
      <c r="L2814" s="66">
        <v>512721</v>
      </c>
      <c r="M2814" t="s">
        <v>2103</v>
      </c>
    </row>
    <row r="2815" spans="12:13">
      <c r="L2815" s="66">
        <v>512800</v>
      </c>
      <c r="M2815" t="s">
        <v>380</v>
      </c>
    </row>
    <row r="2816" spans="12:13">
      <c r="L2816" s="66">
        <v>512810</v>
      </c>
      <c r="M2816" t="s">
        <v>380</v>
      </c>
    </row>
    <row r="2817" spans="12:13">
      <c r="L2817" s="66">
        <v>512811</v>
      </c>
      <c r="M2817" t="s">
        <v>380</v>
      </c>
    </row>
    <row r="2818" spans="12:13">
      <c r="L2818" s="66">
        <v>512820</v>
      </c>
      <c r="M2818" t="s">
        <v>2104</v>
      </c>
    </row>
    <row r="2819" spans="12:13">
      <c r="L2819" s="66">
        <v>512821</v>
      </c>
      <c r="M2819" t="s">
        <v>2104</v>
      </c>
    </row>
    <row r="2820" spans="12:13">
      <c r="L2820" s="66">
        <v>512900</v>
      </c>
      <c r="M2820" t="s">
        <v>385</v>
      </c>
    </row>
    <row r="2821" spans="12:13">
      <c r="L2821" s="66">
        <v>512910</v>
      </c>
      <c r="M2821" t="s">
        <v>2105</v>
      </c>
    </row>
    <row r="2822" spans="12:13">
      <c r="L2822" s="66">
        <v>512911</v>
      </c>
      <c r="M2822" t="s">
        <v>2105</v>
      </c>
    </row>
    <row r="2823" spans="12:13">
      <c r="L2823" s="66">
        <v>512920</v>
      </c>
      <c r="M2823" t="s">
        <v>387</v>
      </c>
    </row>
    <row r="2824" spans="12:13">
      <c r="L2824" s="66">
        <v>512921</v>
      </c>
      <c r="M2824" t="s">
        <v>387</v>
      </c>
    </row>
    <row r="2825" spans="12:13">
      <c r="L2825" s="66">
        <v>512930</v>
      </c>
      <c r="M2825" t="s">
        <v>388</v>
      </c>
    </row>
    <row r="2826" spans="12:13">
      <c r="L2826" s="66">
        <v>512931</v>
      </c>
      <c r="M2826" t="s">
        <v>2106</v>
      </c>
    </row>
    <row r="2827" spans="12:13">
      <c r="L2827" s="66">
        <v>512932</v>
      </c>
      <c r="M2827" t="s">
        <v>2107</v>
      </c>
    </row>
    <row r="2828" spans="12:13">
      <c r="L2828" s="66">
        <v>512933</v>
      </c>
      <c r="M2828" t="s">
        <v>2108</v>
      </c>
    </row>
    <row r="2829" spans="12:13">
      <c r="L2829" s="66">
        <v>512940</v>
      </c>
      <c r="M2829" t="s">
        <v>2109</v>
      </c>
    </row>
    <row r="2830" spans="12:13">
      <c r="L2830" s="66">
        <v>512941</v>
      </c>
      <c r="M2830" t="s">
        <v>2109</v>
      </c>
    </row>
    <row r="2831" spans="12:13">
      <c r="L2831" s="66">
        <v>512950</v>
      </c>
      <c r="M2831" t="s">
        <v>2110</v>
      </c>
    </row>
    <row r="2832" spans="12:13">
      <c r="L2832" s="66">
        <v>512951</v>
      </c>
      <c r="M2832" t="s">
        <v>2110</v>
      </c>
    </row>
    <row r="2833" spans="12:13">
      <c r="L2833" s="66">
        <v>513000</v>
      </c>
      <c r="M2833" t="s">
        <v>394</v>
      </c>
    </row>
    <row r="2834" spans="12:13">
      <c r="L2834" s="66">
        <v>513100</v>
      </c>
      <c r="M2834" t="s">
        <v>394</v>
      </c>
    </row>
    <row r="2835" spans="12:13">
      <c r="L2835" s="66">
        <v>513110</v>
      </c>
      <c r="M2835" t="s">
        <v>394</v>
      </c>
    </row>
    <row r="2836" spans="12:13">
      <c r="L2836" s="66">
        <v>513111</v>
      </c>
      <c r="M2836" t="s">
        <v>394</v>
      </c>
    </row>
    <row r="2837" spans="12:13">
      <c r="L2837" s="66">
        <v>513119</v>
      </c>
      <c r="M2837" t="s">
        <v>2111</v>
      </c>
    </row>
    <row r="2838" spans="12:13">
      <c r="L2838" s="66">
        <v>514000</v>
      </c>
      <c r="M2838" t="s">
        <v>399</v>
      </c>
    </row>
    <row r="2839" spans="12:13">
      <c r="L2839" s="66">
        <v>514100</v>
      </c>
      <c r="M2839" t="s">
        <v>399</v>
      </c>
    </row>
    <row r="2840" spans="12:13">
      <c r="L2840" s="66">
        <v>514110</v>
      </c>
      <c r="M2840" t="s">
        <v>2112</v>
      </c>
    </row>
    <row r="2841" spans="12:13">
      <c r="L2841" s="66">
        <v>514111</v>
      </c>
      <c r="M2841" t="s">
        <v>2113</v>
      </c>
    </row>
    <row r="2842" spans="12:13">
      <c r="L2842" s="66">
        <v>514112</v>
      </c>
      <c r="M2842" t="s">
        <v>2114</v>
      </c>
    </row>
    <row r="2843" spans="12:13">
      <c r="L2843" s="66">
        <v>514113</v>
      </c>
      <c r="M2843" t="s">
        <v>2115</v>
      </c>
    </row>
    <row r="2844" spans="12:13">
      <c r="L2844" s="66">
        <v>514114</v>
      </c>
      <c r="M2844" t="s">
        <v>2116</v>
      </c>
    </row>
    <row r="2845" spans="12:13">
      <c r="L2845" s="66">
        <v>514115</v>
      </c>
      <c r="M2845" t="s">
        <v>2117</v>
      </c>
    </row>
    <row r="2846" spans="12:13">
      <c r="L2846" s="66">
        <v>514116</v>
      </c>
      <c r="M2846" t="s">
        <v>2118</v>
      </c>
    </row>
    <row r="2847" spans="12:13">
      <c r="L2847" s="66">
        <v>514117</v>
      </c>
      <c r="M2847" t="s">
        <v>2119</v>
      </c>
    </row>
    <row r="2848" spans="12:13">
      <c r="L2848" s="66">
        <v>514118</v>
      </c>
      <c r="M2848" t="s">
        <v>2120</v>
      </c>
    </row>
    <row r="2849" spans="12:13">
      <c r="L2849" s="66">
        <v>514119</v>
      </c>
      <c r="M2849" t="s">
        <v>2121</v>
      </c>
    </row>
    <row r="2850" spans="12:13">
      <c r="L2850" s="66">
        <v>514120</v>
      </c>
      <c r="M2850" t="s">
        <v>401</v>
      </c>
    </row>
    <row r="2851" spans="12:13">
      <c r="L2851" s="66">
        <v>514121</v>
      </c>
      <c r="M2851" t="s">
        <v>401</v>
      </c>
    </row>
    <row r="2852" spans="12:13">
      <c r="L2852" s="66">
        <v>515000</v>
      </c>
      <c r="M2852" t="s">
        <v>491</v>
      </c>
    </row>
    <row r="2853" spans="12:13">
      <c r="L2853" s="66">
        <v>515100</v>
      </c>
      <c r="M2853" t="s">
        <v>491</v>
      </c>
    </row>
    <row r="2854" spans="12:13">
      <c r="L2854" s="66">
        <v>515110</v>
      </c>
      <c r="M2854" t="s">
        <v>492</v>
      </c>
    </row>
    <row r="2855" spans="12:13">
      <c r="L2855" s="66">
        <v>515111</v>
      </c>
      <c r="M2855" t="s">
        <v>492</v>
      </c>
    </row>
    <row r="2856" spans="12:13">
      <c r="L2856" s="66">
        <v>515120</v>
      </c>
      <c r="M2856" t="s">
        <v>496</v>
      </c>
    </row>
    <row r="2857" spans="12:13">
      <c r="L2857" s="66">
        <v>515121</v>
      </c>
      <c r="M2857" t="s">
        <v>2122</v>
      </c>
    </row>
    <row r="2858" spans="12:13">
      <c r="L2858" s="66">
        <v>515122</v>
      </c>
      <c r="M2858" t="s">
        <v>2123</v>
      </c>
    </row>
    <row r="2859" spans="12:13">
      <c r="L2859" s="66">
        <v>515123</v>
      </c>
      <c r="M2859" t="s">
        <v>2124</v>
      </c>
    </row>
    <row r="2860" spans="12:13">
      <c r="L2860" s="66">
        <v>515124</v>
      </c>
      <c r="M2860" t="s">
        <v>2125</v>
      </c>
    </row>
    <row r="2861" spans="12:13">
      <c r="L2861" s="66">
        <v>515125</v>
      </c>
      <c r="M2861" t="s">
        <v>2126</v>
      </c>
    </row>
    <row r="2862" spans="12:13">
      <c r="L2862" s="66">
        <v>515126</v>
      </c>
      <c r="M2862" t="s">
        <v>2127</v>
      </c>
    </row>
    <row r="2863" spans="12:13">
      <c r="L2863" s="66">
        <v>515129</v>
      </c>
      <c r="M2863" t="s">
        <v>2128</v>
      </c>
    </row>
    <row r="2864" spans="12:13">
      <c r="L2864" s="66">
        <v>515190</v>
      </c>
      <c r="M2864" t="s">
        <v>512</v>
      </c>
    </row>
    <row r="2865" spans="12:13">
      <c r="L2865" s="66">
        <v>515191</v>
      </c>
      <c r="M2865" t="s">
        <v>2129</v>
      </c>
    </row>
    <row r="2866" spans="12:13">
      <c r="L2866" s="66">
        <v>515192</v>
      </c>
      <c r="M2866" t="s">
        <v>2130</v>
      </c>
    </row>
    <row r="2867" spans="12:13">
      <c r="L2867" s="66">
        <v>515193</v>
      </c>
      <c r="M2867" t="s">
        <v>2131</v>
      </c>
    </row>
    <row r="2868" spans="12:13">
      <c r="L2868" s="66">
        <v>515194</v>
      </c>
      <c r="M2868" t="s">
        <v>2132</v>
      </c>
    </row>
    <row r="2869" spans="12:13">
      <c r="L2869" s="66">
        <v>515195</v>
      </c>
      <c r="M2869" t="s">
        <v>2133</v>
      </c>
    </row>
    <row r="2870" spans="12:13">
      <c r="L2870" s="66">
        <v>515196</v>
      </c>
      <c r="M2870" t="s">
        <v>2134</v>
      </c>
    </row>
    <row r="2871" spans="12:13">
      <c r="L2871" s="66">
        <v>515197</v>
      </c>
      <c r="M2871" t="s">
        <v>2135</v>
      </c>
    </row>
    <row r="2872" spans="12:13">
      <c r="L2872" s="66">
        <v>515199</v>
      </c>
      <c r="M2872" t="s">
        <v>512</v>
      </c>
    </row>
    <row r="2873" spans="12:13">
      <c r="L2873" s="66">
        <v>520000</v>
      </c>
      <c r="M2873" t="s">
        <v>523</v>
      </c>
    </row>
    <row r="2874" spans="12:13">
      <c r="L2874" s="66">
        <v>521000</v>
      </c>
      <c r="M2874" t="s">
        <v>524</v>
      </c>
    </row>
    <row r="2875" spans="12:13">
      <c r="L2875" s="66">
        <v>521100</v>
      </c>
      <c r="M2875" t="s">
        <v>524</v>
      </c>
    </row>
    <row r="2876" spans="12:13">
      <c r="L2876" s="66">
        <v>521110</v>
      </c>
      <c r="M2876" t="s">
        <v>524</v>
      </c>
    </row>
    <row r="2877" spans="12:13">
      <c r="L2877" s="66">
        <v>521111</v>
      </c>
      <c r="M2877" t="s">
        <v>524</v>
      </c>
    </row>
    <row r="2878" spans="12:13">
      <c r="L2878" s="66">
        <v>522000</v>
      </c>
      <c r="M2878" t="s">
        <v>528</v>
      </c>
    </row>
    <row r="2879" spans="12:13">
      <c r="L2879" s="66">
        <v>522100</v>
      </c>
      <c r="M2879" t="s">
        <v>1975</v>
      </c>
    </row>
    <row r="2880" spans="12:13">
      <c r="L2880" s="66">
        <v>522110</v>
      </c>
      <c r="M2880" t="s">
        <v>1975</v>
      </c>
    </row>
    <row r="2881" spans="12:13">
      <c r="L2881" s="66">
        <v>522111</v>
      </c>
      <c r="M2881" t="s">
        <v>1975</v>
      </c>
    </row>
    <row r="2882" spans="12:13">
      <c r="L2882" s="66">
        <v>522200</v>
      </c>
      <c r="M2882" t="s">
        <v>1207</v>
      </c>
    </row>
    <row r="2883" spans="12:13">
      <c r="L2883" s="66">
        <v>522210</v>
      </c>
      <c r="M2883" t="s">
        <v>1207</v>
      </c>
    </row>
    <row r="2884" spans="12:13">
      <c r="L2884" s="66">
        <v>522211</v>
      </c>
      <c r="M2884" t="s">
        <v>1207</v>
      </c>
    </row>
    <row r="2885" spans="12:13">
      <c r="L2885" s="66">
        <v>522300</v>
      </c>
      <c r="M2885" t="s">
        <v>1208</v>
      </c>
    </row>
    <row r="2886" spans="12:13">
      <c r="L2886" s="66">
        <v>522310</v>
      </c>
      <c r="M2886" t="s">
        <v>1208</v>
      </c>
    </row>
    <row r="2887" spans="12:13">
      <c r="L2887" s="66">
        <v>522311</v>
      </c>
      <c r="M2887" t="s">
        <v>1208</v>
      </c>
    </row>
    <row r="2888" spans="12:13">
      <c r="L2888" s="66">
        <v>523000</v>
      </c>
      <c r="M2888" t="s">
        <v>1209</v>
      </c>
    </row>
    <row r="2889" spans="12:13">
      <c r="L2889" s="66">
        <v>523100</v>
      </c>
      <c r="M2889" t="s">
        <v>1209</v>
      </c>
    </row>
    <row r="2890" spans="12:13">
      <c r="L2890" s="66">
        <v>523110</v>
      </c>
      <c r="M2890" t="s">
        <v>1209</v>
      </c>
    </row>
    <row r="2891" spans="12:13">
      <c r="L2891" s="66">
        <v>523111</v>
      </c>
      <c r="M2891" t="s">
        <v>1209</v>
      </c>
    </row>
    <row r="2892" spans="12:13">
      <c r="L2892" s="66">
        <v>530000</v>
      </c>
      <c r="M2892" t="s">
        <v>405</v>
      </c>
    </row>
    <row r="2893" spans="12:13">
      <c r="L2893" s="66">
        <v>531000</v>
      </c>
      <c r="M2893" t="s">
        <v>405</v>
      </c>
    </row>
    <row r="2894" spans="12:13">
      <c r="L2894" s="66">
        <v>531100</v>
      </c>
      <c r="M2894" t="s">
        <v>405</v>
      </c>
    </row>
    <row r="2895" spans="12:13">
      <c r="L2895" s="66">
        <v>531110</v>
      </c>
      <c r="M2895" t="s">
        <v>405</v>
      </c>
    </row>
    <row r="2896" spans="12:13">
      <c r="L2896" s="66">
        <v>531111</v>
      </c>
      <c r="M2896" t="s">
        <v>405</v>
      </c>
    </row>
    <row r="2897" spans="12:13">
      <c r="L2897" s="66">
        <v>540000</v>
      </c>
      <c r="M2897" t="s">
        <v>414</v>
      </c>
    </row>
    <row r="2898" spans="12:13">
      <c r="L2898" s="66">
        <v>541000</v>
      </c>
      <c r="M2898" t="s">
        <v>415</v>
      </c>
    </row>
    <row r="2899" spans="12:13">
      <c r="L2899" s="66">
        <v>541100</v>
      </c>
      <c r="M2899" t="s">
        <v>415</v>
      </c>
    </row>
    <row r="2900" spans="12:13">
      <c r="L2900" s="66">
        <v>541110</v>
      </c>
      <c r="M2900" t="s">
        <v>2136</v>
      </c>
    </row>
    <row r="2901" spans="12:13">
      <c r="L2901" s="66">
        <v>541111</v>
      </c>
      <c r="M2901" t="s">
        <v>2137</v>
      </c>
    </row>
    <row r="2902" spans="12:13">
      <c r="L2902" s="66">
        <v>541112</v>
      </c>
      <c r="M2902" t="s">
        <v>2138</v>
      </c>
    </row>
    <row r="2903" spans="12:13">
      <c r="L2903" s="66">
        <v>541113</v>
      </c>
      <c r="M2903" t="s">
        <v>2139</v>
      </c>
    </row>
    <row r="2904" spans="12:13">
      <c r="L2904" s="66">
        <v>541114</v>
      </c>
      <c r="M2904" t="s">
        <v>2140</v>
      </c>
    </row>
    <row r="2905" spans="12:13">
      <c r="L2905" s="66">
        <v>541115</v>
      </c>
      <c r="M2905" t="s">
        <v>2141</v>
      </c>
    </row>
    <row r="2906" spans="12:13">
      <c r="L2906" s="66">
        <v>541120</v>
      </c>
      <c r="M2906" t="s">
        <v>2142</v>
      </c>
    </row>
    <row r="2907" spans="12:13">
      <c r="L2907" s="66">
        <v>541121</v>
      </c>
      <c r="M2907" t="s">
        <v>2143</v>
      </c>
    </row>
    <row r="2908" spans="12:13">
      <c r="L2908" s="66">
        <v>541122</v>
      </c>
      <c r="M2908" t="s">
        <v>2144</v>
      </c>
    </row>
    <row r="2909" spans="12:13">
      <c r="L2909" s="66">
        <v>541123</v>
      </c>
      <c r="M2909" t="s">
        <v>2145</v>
      </c>
    </row>
    <row r="2910" spans="12:13">
      <c r="L2910" s="66">
        <v>541124</v>
      </c>
      <c r="M2910" t="s">
        <v>2146</v>
      </c>
    </row>
    <row r="2911" spans="12:13">
      <c r="L2911" s="66">
        <v>541125</v>
      </c>
      <c r="M2911" t="s">
        <v>2147</v>
      </c>
    </row>
    <row r="2912" spans="12:13">
      <c r="L2912" s="66">
        <v>542000</v>
      </c>
      <c r="M2912" t="s">
        <v>1976</v>
      </c>
    </row>
    <row r="2913" spans="12:13">
      <c r="L2913" s="66">
        <v>542100</v>
      </c>
      <c r="M2913" t="s">
        <v>425</v>
      </c>
    </row>
    <row r="2914" spans="12:13">
      <c r="L2914" s="66">
        <v>542110</v>
      </c>
      <c r="M2914" t="s">
        <v>425</v>
      </c>
    </row>
    <row r="2915" spans="12:13">
      <c r="L2915" s="66">
        <v>542111</v>
      </c>
      <c r="M2915" t="s">
        <v>425</v>
      </c>
    </row>
    <row r="2916" spans="12:13">
      <c r="L2916" s="66">
        <v>542112</v>
      </c>
      <c r="M2916" t="s">
        <v>2148</v>
      </c>
    </row>
    <row r="2917" spans="12:13">
      <c r="L2917" s="66">
        <v>542113</v>
      </c>
      <c r="M2917" t="s">
        <v>2149</v>
      </c>
    </row>
    <row r="2918" spans="12:13">
      <c r="L2918" s="66">
        <v>542120</v>
      </c>
      <c r="M2918" t="s">
        <v>2150</v>
      </c>
    </row>
    <row r="2919" spans="12:13">
      <c r="L2919" s="66">
        <v>542121</v>
      </c>
      <c r="M2919" t="s">
        <v>2151</v>
      </c>
    </row>
    <row r="2920" spans="12:13">
      <c r="L2920" s="66">
        <v>542122</v>
      </c>
      <c r="M2920" t="s">
        <v>2152</v>
      </c>
    </row>
    <row r="2921" spans="12:13">
      <c r="L2921" s="66">
        <v>542123</v>
      </c>
      <c r="M2921" t="s">
        <v>2153</v>
      </c>
    </row>
    <row r="2922" spans="12:13">
      <c r="L2922" s="66">
        <v>543000</v>
      </c>
      <c r="M2922" t="s">
        <v>431</v>
      </c>
    </row>
    <row r="2923" spans="12:13">
      <c r="L2923" s="66">
        <v>543100</v>
      </c>
      <c r="M2923" t="s">
        <v>432</v>
      </c>
    </row>
    <row r="2924" spans="12:13">
      <c r="L2924" s="66">
        <v>543110</v>
      </c>
      <c r="M2924" t="s">
        <v>432</v>
      </c>
    </row>
    <row r="2925" spans="12:13">
      <c r="L2925" s="66">
        <v>543111</v>
      </c>
      <c r="M2925" t="s">
        <v>2154</v>
      </c>
    </row>
    <row r="2926" spans="12:13">
      <c r="L2926" s="66">
        <v>543120</v>
      </c>
      <c r="M2926" t="s">
        <v>2155</v>
      </c>
    </row>
    <row r="2927" spans="12:13">
      <c r="L2927" s="66">
        <v>543121</v>
      </c>
      <c r="M2927" t="s">
        <v>2156</v>
      </c>
    </row>
    <row r="2928" spans="12:13">
      <c r="L2928" s="66">
        <v>543200</v>
      </c>
      <c r="M2928" t="s">
        <v>436</v>
      </c>
    </row>
    <row r="2929" spans="12:13">
      <c r="L2929" s="66">
        <v>543210</v>
      </c>
      <c r="M2929" t="s">
        <v>436</v>
      </c>
    </row>
    <row r="2930" spans="12:13">
      <c r="L2930" s="66">
        <v>543211</v>
      </c>
      <c r="M2930" t="s">
        <v>2157</v>
      </c>
    </row>
    <row r="2931" spans="12:13">
      <c r="L2931" s="66">
        <v>543220</v>
      </c>
      <c r="M2931" t="s">
        <v>2158</v>
      </c>
    </row>
    <row r="2932" spans="12:13">
      <c r="L2932" s="66">
        <v>543221</v>
      </c>
      <c r="M2932" t="s">
        <v>2158</v>
      </c>
    </row>
    <row r="2933" spans="12:13">
      <c r="L2933" s="66">
        <v>550000</v>
      </c>
      <c r="M2933" t="s">
        <v>2159</v>
      </c>
    </row>
    <row r="2934" spans="12:13">
      <c r="L2934" s="66">
        <v>551000</v>
      </c>
      <c r="M2934" t="s">
        <v>2159</v>
      </c>
    </row>
    <row r="2935" spans="12:13">
      <c r="L2935" s="66">
        <v>551100</v>
      </c>
      <c r="M2935" t="s">
        <v>2159</v>
      </c>
    </row>
    <row r="2936" spans="12:13">
      <c r="L2936" s="66">
        <v>551110</v>
      </c>
      <c r="M2936" t="s">
        <v>2159</v>
      </c>
    </row>
    <row r="2937" spans="12:13">
      <c r="L2937" s="66">
        <v>551111</v>
      </c>
      <c r="M2937" t="s">
        <v>2159</v>
      </c>
    </row>
    <row r="2938" spans="12:13">
      <c r="L2938" s="66">
        <v>551120</v>
      </c>
      <c r="M2938" t="s">
        <v>2160</v>
      </c>
    </row>
    <row r="2939" spans="12:13">
      <c r="L2939" s="66">
        <v>551121</v>
      </c>
      <c r="M2939" t="s">
        <v>2160</v>
      </c>
    </row>
    <row r="2940" spans="12:13">
      <c r="L2940" s="66">
        <v>600000</v>
      </c>
      <c r="M2940" t="s">
        <v>1977</v>
      </c>
    </row>
    <row r="2941" spans="12:13">
      <c r="L2941" s="66">
        <v>610000</v>
      </c>
      <c r="M2941" t="s">
        <v>1978</v>
      </c>
    </row>
    <row r="2942" spans="12:13">
      <c r="L2942" s="66">
        <v>611000</v>
      </c>
      <c r="M2942" t="s">
        <v>2161</v>
      </c>
    </row>
    <row r="2943" spans="12:13">
      <c r="L2943" s="66">
        <v>611100</v>
      </c>
      <c r="M2943" t="s">
        <v>1980</v>
      </c>
    </row>
    <row r="2944" spans="12:13">
      <c r="L2944" s="66">
        <v>611110</v>
      </c>
      <c r="M2944" t="s">
        <v>2162</v>
      </c>
    </row>
    <row r="2945" spans="12:13">
      <c r="L2945" s="66">
        <v>611111</v>
      </c>
      <c r="M2945" t="s">
        <v>2162</v>
      </c>
    </row>
    <row r="2946" spans="12:13">
      <c r="L2946" s="66">
        <v>611120</v>
      </c>
      <c r="M2946" t="s">
        <v>2163</v>
      </c>
    </row>
    <row r="2947" spans="12:13">
      <c r="L2947" s="66">
        <v>611121</v>
      </c>
      <c r="M2947" t="s">
        <v>2163</v>
      </c>
    </row>
    <row r="2948" spans="12:13">
      <c r="L2948" s="66">
        <v>611122</v>
      </c>
      <c r="M2948" t="s">
        <v>2164</v>
      </c>
    </row>
    <row r="2949" spans="12:13">
      <c r="L2949" s="66">
        <v>611200</v>
      </c>
      <c r="M2949" t="s">
        <v>1981</v>
      </c>
    </row>
    <row r="2950" spans="12:13">
      <c r="L2950" s="66">
        <v>611210</v>
      </c>
      <c r="M2950" t="s">
        <v>2165</v>
      </c>
    </row>
    <row r="2951" spans="12:13">
      <c r="L2951" s="66">
        <v>611211</v>
      </c>
      <c r="M2951" t="s">
        <v>2165</v>
      </c>
    </row>
    <row r="2952" spans="12:13">
      <c r="L2952" s="66">
        <v>611220</v>
      </c>
      <c r="M2952" t="s">
        <v>2166</v>
      </c>
    </row>
    <row r="2953" spans="12:13">
      <c r="L2953" s="66">
        <v>611221</v>
      </c>
      <c r="M2953" t="s">
        <v>2166</v>
      </c>
    </row>
    <row r="2954" spans="12:13">
      <c r="L2954" s="66">
        <v>611230</v>
      </c>
      <c r="M2954" t="s">
        <v>2167</v>
      </c>
    </row>
    <row r="2955" spans="12:13">
      <c r="L2955" s="66">
        <v>611231</v>
      </c>
      <c r="M2955" t="s">
        <v>2167</v>
      </c>
    </row>
    <row r="2956" spans="12:13">
      <c r="L2956" s="66">
        <v>611240</v>
      </c>
      <c r="M2956" t="s">
        <v>2168</v>
      </c>
    </row>
    <row r="2957" spans="12:13">
      <c r="L2957" s="66">
        <v>611241</v>
      </c>
      <c r="M2957" t="s">
        <v>2168</v>
      </c>
    </row>
    <row r="2958" spans="12:13">
      <c r="L2958" s="66">
        <v>611250</v>
      </c>
      <c r="M2958" t="s">
        <v>2169</v>
      </c>
    </row>
    <row r="2959" spans="12:13">
      <c r="L2959" s="66">
        <v>611251</v>
      </c>
      <c r="M2959" t="s">
        <v>2170</v>
      </c>
    </row>
    <row r="2960" spans="12:13">
      <c r="L2960" s="66">
        <v>611252</v>
      </c>
      <c r="M2960" t="s">
        <v>2171</v>
      </c>
    </row>
    <row r="2961" spans="12:13">
      <c r="L2961" s="66">
        <v>611255</v>
      </c>
      <c r="M2961" t="s">
        <v>2172</v>
      </c>
    </row>
    <row r="2962" spans="12:13">
      <c r="L2962" s="66">
        <v>611300</v>
      </c>
      <c r="M2962" t="s">
        <v>1982</v>
      </c>
    </row>
    <row r="2963" spans="12:13">
      <c r="L2963" s="66">
        <v>611310</v>
      </c>
      <c r="M2963" t="s">
        <v>2173</v>
      </c>
    </row>
    <row r="2964" spans="12:13">
      <c r="L2964" s="66">
        <v>611311</v>
      </c>
      <c r="M2964" t="s">
        <v>2173</v>
      </c>
    </row>
    <row r="2965" spans="12:13">
      <c r="L2965" s="66">
        <v>611390</v>
      </c>
      <c r="M2965" t="s">
        <v>2174</v>
      </c>
    </row>
    <row r="2966" spans="12:13">
      <c r="L2966" s="66">
        <v>611391</v>
      </c>
      <c r="M2966" t="s">
        <v>2174</v>
      </c>
    </row>
    <row r="2967" spans="12:13">
      <c r="L2967" s="66">
        <v>611400</v>
      </c>
      <c r="M2967" t="s">
        <v>1983</v>
      </c>
    </row>
    <row r="2968" spans="12:13">
      <c r="L2968" s="66">
        <v>611410</v>
      </c>
      <c r="M2968" t="s">
        <v>1983</v>
      </c>
    </row>
    <row r="2969" spans="12:13">
      <c r="L2969" s="66">
        <v>611411</v>
      </c>
      <c r="M2969" t="s">
        <v>1983</v>
      </c>
    </row>
    <row r="2970" spans="12:13">
      <c r="L2970" s="66">
        <v>611500</v>
      </c>
      <c r="M2970" t="s">
        <v>1984</v>
      </c>
    </row>
    <row r="2971" spans="12:13">
      <c r="L2971" s="66">
        <v>611510</v>
      </c>
      <c r="M2971" t="s">
        <v>1984</v>
      </c>
    </row>
    <row r="2972" spans="12:13">
      <c r="L2972" s="66">
        <v>611511</v>
      </c>
      <c r="M2972" t="s">
        <v>1984</v>
      </c>
    </row>
    <row r="2973" spans="12:13">
      <c r="L2973" s="66">
        <v>611600</v>
      </c>
      <c r="M2973" t="s">
        <v>1985</v>
      </c>
    </row>
    <row r="2974" spans="12:13">
      <c r="L2974" s="66">
        <v>611610</v>
      </c>
      <c r="M2974" t="s">
        <v>1985</v>
      </c>
    </row>
    <row r="2975" spans="12:13">
      <c r="L2975" s="66">
        <v>611611</v>
      </c>
      <c r="M2975" t="s">
        <v>1985</v>
      </c>
    </row>
    <row r="2976" spans="12:13">
      <c r="L2976" s="66">
        <v>611700</v>
      </c>
      <c r="M2976" t="s">
        <v>1986</v>
      </c>
    </row>
    <row r="2977" spans="12:13">
      <c r="L2977" s="66">
        <v>611710</v>
      </c>
      <c r="M2977" t="s">
        <v>1986</v>
      </c>
    </row>
    <row r="2978" spans="12:13">
      <c r="L2978" s="66">
        <v>611711</v>
      </c>
      <c r="M2978" t="s">
        <v>1986</v>
      </c>
    </row>
    <row r="2979" spans="12:13">
      <c r="L2979" s="66">
        <v>611800</v>
      </c>
      <c r="M2979" t="s">
        <v>1987</v>
      </c>
    </row>
    <row r="2980" spans="12:13">
      <c r="L2980" s="66">
        <v>611810</v>
      </c>
      <c r="M2980" t="s">
        <v>1987</v>
      </c>
    </row>
    <row r="2981" spans="12:13">
      <c r="L2981" s="66">
        <v>611811</v>
      </c>
      <c r="M2981" t="s">
        <v>1987</v>
      </c>
    </row>
    <row r="2982" spans="12:13">
      <c r="L2982" s="66">
        <v>611900</v>
      </c>
      <c r="M2982" t="s">
        <v>1988</v>
      </c>
    </row>
    <row r="2983" spans="12:13">
      <c r="L2983" s="66">
        <v>611910</v>
      </c>
      <c r="M2983" t="s">
        <v>2175</v>
      </c>
    </row>
    <row r="2984" spans="12:13">
      <c r="L2984" s="66">
        <v>611911</v>
      </c>
      <c r="M2984" t="s">
        <v>2175</v>
      </c>
    </row>
    <row r="2985" spans="12:13">
      <c r="L2985" s="66">
        <v>611920</v>
      </c>
      <c r="M2985" t="s">
        <v>2176</v>
      </c>
    </row>
    <row r="2986" spans="12:13">
      <c r="L2986" s="66">
        <v>611921</v>
      </c>
      <c r="M2986" t="s">
        <v>2176</v>
      </c>
    </row>
    <row r="2987" spans="12:13">
      <c r="L2987" s="66">
        <v>612000</v>
      </c>
      <c r="M2987" t="s">
        <v>1989</v>
      </c>
    </row>
    <row r="2988" spans="12:13">
      <c r="L2988" s="66">
        <v>612100</v>
      </c>
      <c r="M2988" t="s">
        <v>1990</v>
      </c>
    </row>
    <row r="2989" spans="12:13">
      <c r="L2989" s="66">
        <v>612110</v>
      </c>
      <c r="M2989" t="s">
        <v>2177</v>
      </c>
    </row>
    <row r="2990" spans="12:13">
      <c r="L2990" s="66">
        <v>612111</v>
      </c>
      <c r="M2990" t="s">
        <v>2177</v>
      </c>
    </row>
    <row r="2991" spans="12:13">
      <c r="L2991" s="66">
        <v>612120</v>
      </c>
      <c r="M2991" t="s">
        <v>2178</v>
      </c>
    </row>
    <row r="2992" spans="12:13">
      <c r="L2992" s="66">
        <v>612121</v>
      </c>
      <c r="M2992" t="s">
        <v>2179</v>
      </c>
    </row>
    <row r="2993" spans="12:13">
      <c r="L2993" s="66">
        <v>612122</v>
      </c>
      <c r="M2993" t="s">
        <v>2180</v>
      </c>
    </row>
    <row r="2994" spans="12:13">
      <c r="L2994" s="66">
        <v>612200</v>
      </c>
      <c r="M2994" t="s">
        <v>1991</v>
      </c>
    </row>
    <row r="2995" spans="12:13">
      <c r="L2995" s="66">
        <v>612210</v>
      </c>
      <c r="M2995" t="s">
        <v>2181</v>
      </c>
    </row>
    <row r="2996" spans="12:13">
      <c r="L2996" s="66">
        <v>612211</v>
      </c>
      <c r="M2996" t="s">
        <v>2181</v>
      </c>
    </row>
    <row r="2997" spans="12:13">
      <c r="L2997" s="66">
        <v>612220</v>
      </c>
      <c r="M2997" t="s">
        <v>2182</v>
      </c>
    </row>
    <row r="2998" spans="12:13">
      <c r="L2998" s="66">
        <v>612221</v>
      </c>
      <c r="M2998" t="s">
        <v>2182</v>
      </c>
    </row>
    <row r="2999" spans="12:13">
      <c r="L2999" s="66">
        <v>612290</v>
      </c>
      <c r="M2999" t="s">
        <v>2183</v>
      </c>
    </row>
    <row r="3000" spans="12:13">
      <c r="L3000" s="66">
        <v>612291</v>
      </c>
      <c r="M3000" t="s">
        <v>2183</v>
      </c>
    </row>
    <row r="3001" spans="12:13">
      <c r="L3001" s="66">
        <v>612300</v>
      </c>
      <c r="M3001" t="s">
        <v>1992</v>
      </c>
    </row>
    <row r="3002" spans="12:13">
      <c r="L3002" s="66">
        <v>612310</v>
      </c>
      <c r="M3002" t="s">
        <v>2184</v>
      </c>
    </row>
    <row r="3003" spans="12:13">
      <c r="L3003" s="66">
        <v>612311</v>
      </c>
      <c r="M3003" t="s">
        <v>2184</v>
      </c>
    </row>
    <row r="3004" spans="12:13">
      <c r="L3004" s="66">
        <v>612320</v>
      </c>
      <c r="M3004" t="s">
        <v>2185</v>
      </c>
    </row>
    <row r="3005" spans="12:13">
      <c r="L3005" s="66">
        <v>612321</v>
      </c>
      <c r="M3005" t="s">
        <v>2185</v>
      </c>
    </row>
    <row r="3006" spans="12:13">
      <c r="L3006" s="66">
        <v>612330</v>
      </c>
      <c r="M3006" t="s">
        <v>2186</v>
      </c>
    </row>
    <row r="3007" spans="12:13">
      <c r="L3007" s="66">
        <v>612331</v>
      </c>
      <c r="M3007" t="s">
        <v>2186</v>
      </c>
    </row>
    <row r="3008" spans="12:13">
      <c r="L3008" s="66">
        <v>612340</v>
      </c>
      <c r="M3008" t="s">
        <v>2187</v>
      </c>
    </row>
    <row r="3009" spans="12:13">
      <c r="L3009" s="66">
        <v>612341</v>
      </c>
      <c r="M3009" t="s">
        <v>2187</v>
      </c>
    </row>
    <row r="3010" spans="12:13">
      <c r="L3010" s="66">
        <v>612350</v>
      </c>
      <c r="M3010" t="s">
        <v>2188</v>
      </c>
    </row>
    <row r="3011" spans="12:13">
      <c r="L3011" s="66">
        <v>612351</v>
      </c>
      <c r="M3011" t="s">
        <v>2188</v>
      </c>
    </row>
    <row r="3012" spans="12:13">
      <c r="L3012" s="66">
        <v>612390</v>
      </c>
      <c r="M3012" t="s">
        <v>2189</v>
      </c>
    </row>
    <row r="3013" spans="12:13">
      <c r="L3013" s="66">
        <v>612391</v>
      </c>
      <c r="M3013" t="s">
        <v>2189</v>
      </c>
    </row>
    <row r="3014" spans="12:13">
      <c r="L3014" s="66">
        <v>612400</v>
      </c>
      <c r="M3014" t="s">
        <v>2190</v>
      </c>
    </row>
    <row r="3015" spans="12:13">
      <c r="L3015" s="66">
        <v>612410</v>
      </c>
      <c r="M3015" t="s">
        <v>2191</v>
      </c>
    </row>
    <row r="3016" spans="12:13">
      <c r="L3016" s="66">
        <v>612411</v>
      </c>
      <c r="M3016" t="s">
        <v>2191</v>
      </c>
    </row>
    <row r="3017" spans="12:13">
      <c r="L3017" s="66">
        <v>612490</v>
      </c>
      <c r="M3017" t="s">
        <v>2192</v>
      </c>
    </row>
    <row r="3018" spans="12:13">
      <c r="L3018" s="66">
        <v>612491</v>
      </c>
      <c r="M3018" t="s">
        <v>2192</v>
      </c>
    </row>
    <row r="3019" spans="12:13">
      <c r="L3019" s="66">
        <v>612500</v>
      </c>
      <c r="M3019" t="s">
        <v>2193</v>
      </c>
    </row>
    <row r="3020" spans="12:13">
      <c r="L3020" s="66">
        <v>612510</v>
      </c>
      <c r="M3020" t="s">
        <v>2193</v>
      </c>
    </row>
    <row r="3021" spans="12:13">
      <c r="L3021" s="66">
        <v>612511</v>
      </c>
      <c r="M3021" t="s">
        <v>2193</v>
      </c>
    </row>
    <row r="3022" spans="12:13">
      <c r="L3022" s="66">
        <v>612600</v>
      </c>
      <c r="M3022" t="s">
        <v>1995</v>
      </c>
    </row>
    <row r="3023" spans="12:13">
      <c r="L3023" s="66">
        <v>612610</v>
      </c>
      <c r="M3023" t="s">
        <v>1995</v>
      </c>
    </row>
    <row r="3024" spans="12:13">
      <c r="L3024" s="66">
        <v>612611</v>
      </c>
      <c r="M3024" t="s">
        <v>1995</v>
      </c>
    </row>
    <row r="3025" spans="12:13">
      <c r="L3025" s="66">
        <v>612900</v>
      </c>
      <c r="M3025" t="s">
        <v>1996</v>
      </c>
    </row>
    <row r="3026" spans="12:13">
      <c r="L3026" s="66">
        <v>612910</v>
      </c>
      <c r="M3026" t="s">
        <v>2194</v>
      </c>
    </row>
    <row r="3027" spans="12:13">
      <c r="L3027" s="66">
        <v>612911</v>
      </c>
      <c r="M3027" t="s">
        <v>2194</v>
      </c>
    </row>
    <row r="3028" spans="12:13">
      <c r="L3028" s="66">
        <v>613000</v>
      </c>
      <c r="M3028" t="s">
        <v>1997</v>
      </c>
    </row>
    <row r="3029" spans="12:13">
      <c r="L3029" s="66">
        <v>613100</v>
      </c>
      <c r="M3029" t="s">
        <v>1997</v>
      </c>
    </row>
    <row r="3030" spans="12:13">
      <c r="L3030" s="66">
        <v>613110</v>
      </c>
      <c r="M3030" t="s">
        <v>1997</v>
      </c>
    </row>
    <row r="3031" spans="12:13">
      <c r="L3031" s="66">
        <v>613111</v>
      </c>
      <c r="M3031" t="s">
        <v>1997</v>
      </c>
    </row>
    <row r="3032" spans="12:13">
      <c r="L3032" s="66">
        <v>614000</v>
      </c>
      <c r="M3032" t="s">
        <v>1998</v>
      </c>
    </row>
    <row r="3033" spans="12:13">
      <c r="L3033" s="66">
        <v>614100</v>
      </c>
      <c r="M3033" t="s">
        <v>1998</v>
      </c>
    </row>
    <row r="3034" spans="12:13">
      <c r="L3034" s="66">
        <v>614110</v>
      </c>
      <c r="M3034" t="s">
        <v>1998</v>
      </c>
    </row>
    <row r="3035" spans="12:13">
      <c r="L3035" s="66">
        <v>614111</v>
      </c>
      <c r="M3035" t="s">
        <v>2195</v>
      </c>
    </row>
    <row r="3036" spans="12:13">
      <c r="L3036" s="66">
        <v>620000</v>
      </c>
      <c r="M3036" t="s">
        <v>1999</v>
      </c>
    </row>
    <row r="3037" spans="12:13">
      <c r="L3037" s="66">
        <v>621000</v>
      </c>
      <c r="M3037" t="s">
        <v>2000</v>
      </c>
    </row>
    <row r="3038" spans="12:13">
      <c r="L3038" s="66">
        <v>621100</v>
      </c>
      <c r="M3038" t="s">
        <v>2001</v>
      </c>
    </row>
    <row r="3039" spans="12:13">
      <c r="L3039" s="66">
        <v>621110</v>
      </c>
      <c r="M3039" t="s">
        <v>2196</v>
      </c>
    </row>
    <row r="3040" spans="12:13">
      <c r="L3040" s="66">
        <v>621111</v>
      </c>
      <c r="M3040" t="s">
        <v>2196</v>
      </c>
    </row>
    <row r="3041" spans="12:13">
      <c r="L3041" s="66">
        <v>621120</v>
      </c>
      <c r="M3041" t="s">
        <v>566</v>
      </c>
    </row>
    <row r="3042" spans="12:13">
      <c r="L3042" s="66">
        <v>621121</v>
      </c>
      <c r="M3042" t="s">
        <v>566</v>
      </c>
    </row>
    <row r="3043" spans="12:13">
      <c r="L3043" s="66">
        <v>621200</v>
      </c>
      <c r="M3043" t="s">
        <v>568</v>
      </c>
    </row>
    <row r="3044" spans="12:13">
      <c r="L3044" s="66">
        <v>621210</v>
      </c>
      <c r="M3044" t="s">
        <v>569</v>
      </c>
    </row>
    <row r="3045" spans="12:13">
      <c r="L3045" s="66">
        <v>621211</v>
      </c>
      <c r="M3045" t="s">
        <v>569</v>
      </c>
    </row>
    <row r="3046" spans="12:13">
      <c r="L3046" s="66">
        <v>621220</v>
      </c>
      <c r="M3046" t="s">
        <v>570</v>
      </c>
    </row>
    <row r="3047" spans="12:13">
      <c r="L3047" s="66">
        <v>621221</v>
      </c>
      <c r="M3047" t="s">
        <v>570</v>
      </c>
    </row>
    <row r="3048" spans="12:13">
      <c r="L3048" s="66">
        <v>621230</v>
      </c>
      <c r="M3048" t="s">
        <v>571</v>
      </c>
    </row>
    <row r="3049" spans="12:13">
      <c r="L3049" s="66">
        <v>621231</v>
      </c>
      <c r="M3049" t="s">
        <v>571</v>
      </c>
    </row>
    <row r="3050" spans="12:13">
      <c r="L3050" s="66">
        <v>621240</v>
      </c>
      <c r="M3050" t="s">
        <v>572</v>
      </c>
    </row>
    <row r="3051" spans="12:13">
      <c r="L3051" s="66">
        <v>621241</v>
      </c>
      <c r="M3051" t="s">
        <v>572</v>
      </c>
    </row>
    <row r="3052" spans="12:13">
      <c r="L3052" s="66">
        <v>621250</v>
      </c>
      <c r="M3052" t="s">
        <v>573</v>
      </c>
    </row>
    <row r="3053" spans="12:13">
      <c r="L3053" s="66">
        <v>621251</v>
      </c>
      <c r="M3053" t="s">
        <v>574</v>
      </c>
    </row>
    <row r="3054" spans="12:13">
      <c r="L3054" s="66">
        <v>621252</v>
      </c>
      <c r="M3054" t="s">
        <v>575</v>
      </c>
    </row>
    <row r="3055" spans="12:13">
      <c r="L3055" s="66">
        <v>621255</v>
      </c>
      <c r="M3055" t="s">
        <v>576</v>
      </c>
    </row>
    <row r="3056" spans="12:13">
      <c r="L3056" s="66">
        <v>621300</v>
      </c>
      <c r="M3056" t="s">
        <v>583</v>
      </c>
    </row>
    <row r="3057" spans="12:13">
      <c r="L3057" s="66">
        <v>621310</v>
      </c>
      <c r="M3057" t="s">
        <v>584</v>
      </c>
    </row>
    <row r="3058" spans="12:13">
      <c r="L3058" s="66">
        <v>621311</v>
      </c>
      <c r="M3058" t="s">
        <v>584</v>
      </c>
    </row>
    <row r="3059" spans="12:13">
      <c r="L3059" s="66">
        <v>621390</v>
      </c>
      <c r="M3059" t="s">
        <v>585</v>
      </c>
    </row>
    <row r="3060" spans="12:13">
      <c r="L3060" s="66">
        <v>621391</v>
      </c>
      <c r="M3060" t="s">
        <v>585</v>
      </c>
    </row>
    <row r="3061" spans="12:13">
      <c r="L3061" s="66">
        <v>621400</v>
      </c>
      <c r="M3061" t="s">
        <v>590</v>
      </c>
    </row>
    <row r="3062" spans="12:13">
      <c r="L3062" s="66">
        <v>621410</v>
      </c>
      <c r="M3062" t="s">
        <v>590</v>
      </c>
    </row>
    <row r="3063" spans="12:13">
      <c r="L3063" s="66">
        <v>621411</v>
      </c>
      <c r="M3063" t="s">
        <v>590</v>
      </c>
    </row>
    <row r="3064" spans="12:13">
      <c r="L3064" s="66">
        <v>621500</v>
      </c>
      <c r="M3064" t="s">
        <v>2197</v>
      </c>
    </row>
    <row r="3065" spans="12:13">
      <c r="L3065" s="66">
        <v>621510</v>
      </c>
      <c r="M3065" t="s">
        <v>2197</v>
      </c>
    </row>
    <row r="3066" spans="12:13">
      <c r="L3066" s="66">
        <v>621511</v>
      </c>
      <c r="M3066" t="s">
        <v>2197</v>
      </c>
    </row>
    <row r="3067" spans="12:13">
      <c r="L3067" s="66">
        <v>621600</v>
      </c>
      <c r="M3067" t="s">
        <v>594</v>
      </c>
    </row>
    <row r="3068" spans="12:13">
      <c r="L3068" s="66">
        <v>621610</v>
      </c>
      <c r="M3068" t="s">
        <v>594</v>
      </c>
    </row>
    <row r="3069" spans="12:13">
      <c r="L3069" s="66">
        <v>621611</v>
      </c>
      <c r="M3069" t="s">
        <v>2198</v>
      </c>
    </row>
    <row r="3070" spans="12:13">
      <c r="L3070" s="66">
        <v>621612</v>
      </c>
      <c r="M3070" t="s">
        <v>2199</v>
      </c>
    </row>
    <row r="3071" spans="12:13">
      <c r="L3071" s="66">
        <v>621613</v>
      </c>
      <c r="M3071" t="s">
        <v>597</v>
      </c>
    </row>
    <row r="3072" spans="12:13">
      <c r="L3072" s="66">
        <v>621700</v>
      </c>
      <c r="M3072" t="s">
        <v>2200</v>
      </c>
    </row>
    <row r="3073" spans="12:13">
      <c r="L3073" s="66">
        <v>621710</v>
      </c>
      <c r="M3073" t="s">
        <v>2200</v>
      </c>
    </row>
    <row r="3074" spans="12:13">
      <c r="L3074" s="66">
        <v>621711</v>
      </c>
      <c r="M3074" t="s">
        <v>600</v>
      </c>
    </row>
    <row r="3075" spans="12:13">
      <c r="L3075" s="66">
        <v>621712</v>
      </c>
      <c r="M3075" t="s">
        <v>601</v>
      </c>
    </row>
    <row r="3076" spans="12:13">
      <c r="L3076" s="66">
        <v>621800</v>
      </c>
      <c r="M3076" t="s">
        <v>603</v>
      </c>
    </row>
    <row r="3077" spans="12:13">
      <c r="L3077" s="66">
        <v>621810</v>
      </c>
      <c r="M3077" t="s">
        <v>603</v>
      </c>
    </row>
    <row r="3078" spans="12:13">
      <c r="L3078" s="66">
        <v>621811</v>
      </c>
      <c r="M3078" t="s">
        <v>603</v>
      </c>
    </row>
    <row r="3079" spans="12:13">
      <c r="L3079" s="66">
        <v>621900</v>
      </c>
      <c r="M3079" t="s">
        <v>2003</v>
      </c>
    </row>
    <row r="3080" spans="12:13">
      <c r="L3080" s="66">
        <v>621910</v>
      </c>
      <c r="M3080" t="s">
        <v>2201</v>
      </c>
    </row>
    <row r="3081" spans="12:13">
      <c r="L3081" s="66">
        <v>621911</v>
      </c>
      <c r="M3081" t="s">
        <v>2201</v>
      </c>
    </row>
    <row r="3082" spans="12:13">
      <c r="L3082" s="66">
        <v>621920</v>
      </c>
      <c r="M3082" t="s">
        <v>607</v>
      </c>
    </row>
    <row r="3083" spans="12:13">
      <c r="L3083" s="66">
        <v>621921</v>
      </c>
      <c r="M3083" t="s">
        <v>608</v>
      </c>
    </row>
    <row r="3084" spans="12:13">
      <c r="L3084" s="66">
        <v>621922</v>
      </c>
      <c r="M3084" t="s">
        <v>2202</v>
      </c>
    </row>
    <row r="3085" spans="12:13">
      <c r="L3085" s="66">
        <v>621930</v>
      </c>
      <c r="M3085" t="s">
        <v>610</v>
      </c>
    </row>
    <row r="3086" spans="12:13">
      <c r="L3086" s="66">
        <v>621931</v>
      </c>
      <c r="M3086" t="s">
        <v>610</v>
      </c>
    </row>
    <row r="3087" spans="12:13">
      <c r="L3087" s="66">
        <v>621940</v>
      </c>
      <c r="M3087" t="s">
        <v>611</v>
      </c>
    </row>
    <row r="3088" spans="12:13">
      <c r="L3088" s="66">
        <v>621941</v>
      </c>
      <c r="M3088" t="s">
        <v>611</v>
      </c>
    </row>
    <row r="3089" spans="12:13">
      <c r="L3089" s="66">
        <v>622000</v>
      </c>
      <c r="M3089" t="s">
        <v>2004</v>
      </c>
    </row>
    <row r="3090" spans="12:13">
      <c r="L3090" s="66">
        <v>622100</v>
      </c>
      <c r="M3090" t="s">
        <v>2005</v>
      </c>
    </row>
    <row r="3091" spans="12:13">
      <c r="L3091" s="66">
        <v>622110</v>
      </c>
      <c r="M3091" t="s">
        <v>2203</v>
      </c>
    </row>
    <row r="3092" spans="12:13">
      <c r="L3092" s="66">
        <v>622111</v>
      </c>
      <c r="M3092" t="s">
        <v>2203</v>
      </c>
    </row>
    <row r="3093" spans="12:13">
      <c r="L3093" s="66">
        <v>622120</v>
      </c>
      <c r="M3093" t="s">
        <v>2204</v>
      </c>
    </row>
    <row r="3094" spans="12:13">
      <c r="L3094" s="66">
        <v>622121</v>
      </c>
      <c r="M3094" t="s">
        <v>2204</v>
      </c>
    </row>
    <row r="3095" spans="12:13">
      <c r="L3095" s="66">
        <v>622200</v>
      </c>
      <c r="M3095" t="s">
        <v>620</v>
      </c>
    </row>
    <row r="3096" spans="12:13">
      <c r="L3096" s="66">
        <v>622210</v>
      </c>
      <c r="M3096" t="s">
        <v>620</v>
      </c>
    </row>
    <row r="3097" spans="12:13">
      <c r="L3097" s="66">
        <v>622211</v>
      </c>
      <c r="M3097" t="s">
        <v>620</v>
      </c>
    </row>
    <row r="3098" spans="12:13">
      <c r="L3098" s="66">
        <v>622300</v>
      </c>
      <c r="M3098" t="s">
        <v>622</v>
      </c>
    </row>
    <row r="3099" spans="12:13">
      <c r="L3099" s="66">
        <v>622310</v>
      </c>
      <c r="M3099" t="s">
        <v>622</v>
      </c>
    </row>
    <row r="3100" spans="12:13">
      <c r="L3100" s="66">
        <v>622311</v>
      </c>
      <c r="M3100" t="s">
        <v>622</v>
      </c>
    </row>
    <row r="3101" spans="12:13">
      <c r="L3101" s="66">
        <v>622400</v>
      </c>
      <c r="M3101" t="s">
        <v>624</v>
      </c>
    </row>
    <row r="3102" spans="12:13">
      <c r="L3102" s="66">
        <v>622410</v>
      </c>
      <c r="M3102" t="s">
        <v>624</v>
      </c>
    </row>
    <row r="3103" spans="12:13">
      <c r="L3103" s="66">
        <v>622411</v>
      </c>
      <c r="M3103" t="s">
        <v>624</v>
      </c>
    </row>
    <row r="3104" spans="12:13">
      <c r="L3104" s="66">
        <v>622500</v>
      </c>
      <c r="M3104" t="s">
        <v>626</v>
      </c>
    </row>
    <row r="3105" spans="12:13">
      <c r="L3105" s="66">
        <v>622510</v>
      </c>
      <c r="M3105" t="s">
        <v>626</v>
      </c>
    </row>
    <row r="3106" spans="12:13">
      <c r="L3106" s="66">
        <v>622511</v>
      </c>
      <c r="M3106" t="s">
        <v>626</v>
      </c>
    </row>
    <row r="3107" spans="12:13">
      <c r="L3107" s="66">
        <v>622600</v>
      </c>
      <c r="M3107" t="s">
        <v>628</v>
      </c>
    </row>
    <row r="3108" spans="12:13">
      <c r="L3108" s="66">
        <v>622610</v>
      </c>
      <c r="M3108" t="s">
        <v>628</v>
      </c>
    </row>
    <row r="3109" spans="12:13">
      <c r="L3109" s="66">
        <v>622611</v>
      </c>
      <c r="M3109" t="s">
        <v>629</v>
      </c>
    </row>
    <row r="3110" spans="12:13">
      <c r="L3110" s="66">
        <v>622612</v>
      </c>
      <c r="M3110" t="s">
        <v>630</v>
      </c>
    </row>
    <row r="3111" spans="12:13">
      <c r="L3111" s="66">
        <v>622700</v>
      </c>
      <c r="M3111" t="s">
        <v>2006</v>
      </c>
    </row>
    <row r="3112" spans="12:13">
      <c r="L3112" s="66">
        <v>622710</v>
      </c>
      <c r="M3112" t="s">
        <v>633</v>
      </c>
    </row>
    <row r="3113" spans="12:13">
      <c r="L3113" s="66">
        <v>622711</v>
      </c>
      <c r="M3113" t="s">
        <v>633</v>
      </c>
    </row>
    <row r="3114" spans="12:13">
      <c r="L3114" s="66">
        <v>622720</v>
      </c>
      <c r="M3114" t="s">
        <v>634</v>
      </c>
    </row>
    <row r="3115" spans="12:13">
      <c r="L3115" s="66">
        <v>622721</v>
      </c>
      <c r="M3115" t="s">
        <v>634</v>
      </c>
    </row>
    <row r="3116" spans="12:13">
      <c r="L3116" s="66">
        <v>622800</v>
      </c>
      <c r="M3116" t="s">
        <v>2007</v>
      </c>
    </row>
    <row r="3117" spans="12:13">
      <c r="L3117" s="66">
        <v>622810</v>
      </c>
      <c r="M3117" t="s">
        <v>2007</v>
      </c>
    </row>
    <row r="3118" spans="12:13">
      <c r="L3118" s="66">
        <v>622811</v>
      </c>
      <c r="M3118" t="s">
        <v>2007</v>
      </c>
    </row>
    <row r="3119" spans="12:13">
      <c r="L3119" s="66">
        <v>623000</v>
      </c>
      <c r="M3119" t="s">
        <v>2205</v>
      </c>
    </row>
    <row r="3120" spans="12:13">
      <c r="L3120" s="66">
        <v>623100</v>
      </c>
      <c r="M3120" t="s">
        <v>2206</v>
      </c>
    </row>
    <row r="3121" spans="12:13">
      <c r="L3121" s="66">
        <v>623110</v>
      </c>
      <c r="M3121" t="s">
        <v>2206</v>
      </c>
    </row>
    <row r="3122" spans="12:13">
      <c r="L3122" s="66">
        <v>623111</v>
      </c>
      <c r="M3122" t="s">
        <v>2206</v>
      </c>
    </row>
    <row r="3123" spans="12:13">
      <c r="L3123" s="66">
        <v>690000</v>
      </c>
      <c r="M3123" t="s">
        <v>2207</v>
      </c>
    </row>
    <row r="3124" spans="12:13">
      <c r="L3124" s="66">
        <v>699000</v>
      </c>
      <c r="M3124" t="s">
        <v>2207</v>
      </c>
    </row>
    <row r="3125" spans="12:13">
      <c r="L3125" s="66">
        <v>699900</v>
      </c>
      <c r="M3125" t="s">
        <v>2207</v>
      </c>
    </row>
    <row r="3126" spans="12:13">
      <c r="L3126" s="66">
        <v>699990</v>
      </c>
      <c r="M3126" t="s">
        <v>2207</v>
      </c>
    </row>
    <row r="3127" spans="12:13">
      <c r="L3127" s="66">
        <v>699999</v>
      </c>
      <c r="M3127" t="s">
        <v>2207</v>
      </c>
    </row>
    <row r="3128" spans="12:13">
      <c r="L3128" s="66">
        <v>700000</v>
      </c>
      <c r="M3128" t="s">
        <v>2209</v>
      </c>
    </row>
    <row r="3129" spans="12:13">
      <c r="L3129" s="66">
        <v>710000</v>
      </c>
      <c r="M3129" t="s">
        <v>2210</v>
      </c>
    </row>
    <row r="3130" spans="12:13">
      <c r="L3130" s="66">
        <v>711000</v>
      </c>
      <c r="M3130" t="s">
        <v>2211</v>
      </c>
    </row>
    <row r="3131" spans="12:13">
      <c r="L3131" s="66">
        <v>711100</v>
      </c>
      <c r="M3131" t="s">
        <v>2212</v>
      </c>
    </row>
    <row r="3132" spans="12:13">
      <c r="L3132" s="66">
        <v>711110</v>
      </c>
      <c r="M3132" t="s">
        <v>2213</v>
      </c>
    </row>
    <row r="3133" spans="12:13">
      <c r="L3133" s="66">
        <v>711111</v>
      </c>
      <c r="M3133" t="s">
        <v>2213</v>
      </c>
    </row>
    <row r="3134" spans="12:13">
      <c r="L3134" s="66">
        <v>711120</v>
      </c>
      <c r="M3134" t="s">
        <v>2214</v>
      </c>
    </row>
    <row r="3135" spans="12:13">
      <c r="L3135" s="66">
        <v>711121</v>
      </c>
      <c r="M3135" t="s">
        <v>2215</v>
      </c>
    </row>
    <row r="3136" spans="12:13">
      <c r="L3136" s="66">
        <v>711122</v>
      </c>
      <c r="M3136" t="s">
        <v>2216</v>
      </c>
    </row>
    <row r="3137" spans="12:13">
      <c r="L3137" s="66">
        <v>711130</v>
      </c>
      <c r="M3137" t="s">
        <v>2217</v>
      </c>
    </row>
    <row r="3138" spans="12:13">
      <c r="L3138" s="66">
        <v>711131</v>
      </c>
      <c r="M3138" t="s">
        <v>2218</v>
      </c>
    </row>
    <row r="3139" spans="12:13">
      <c r="L3139" s="66">
        <v>711140</v>
      </c>
      <c r="M3139" t="s">
        <v>2219</v>
      </c>
    </row>
    <row r="3140" spans="12:13">
      <c r="L3140" s="66">
        <v>711141</v>
      </c>
      <c r="M3140" t="s">
        <v>2220</v>
      </c>
    </row>
    <row r="3141" spans="12:13">
      <c r="L3141" s="66">
        <v>711142</v>
      </c>
      <c r="M3141" t="s">
        <v>2221</v>
      </c>
    </row>
    <row r="3142" spans="12:13">
      <c r="L3142" s="66">
        <v>711143</v>
      </c>
      <c r="M3142" t="s">
        <v>2222</v>
      </c>
    </row>
    <row r="3143" spans="12:13">
      <c r="L3143" s="66">
        <v>711144</v>
      </c>
      <c r="M3143" t="s">
        <v>2223</v>
      </c>
    </row>
    <row r="3144" spans="12:13">
      <c r="L3144" s="66">
        <v>711145</v>
      </c>
      <c r="M3144" t="s">
        <v>2224</v>
      </c>
    </row>
    <row r="3145" spans="12:13">
      <c r="L3145" s="66">
        <v>711146</v>
      </c>
      <c r="M3145" t="s">
        <v>2225</v>
      </c>
    </row>
    <row r="3146" spans="12:13">
      <c r="L3146" s="66">
        <v>711147</v>
      </c>
      <c r="M3146" t="s">
        <v>2226</v>
      </c>
    </row>
    <row r="3147" spans="12:13">
      <c r="L3147" s="66">
        <v>711148</v>
      </c>
      <c r="M3147" t="s">
        <v>2227</v>
      </c>
    </row>
    <row r="3148" spans="12:13">
      <c r="L3148" s="66">
        <v>711149</v>
      </c>
      <c r="M3148" t="s">
        <v>2228</v>
      </c>
    </row>
    <row r="3149" spans="12:13">
      <c r="L3149" s="66">
        <v>711150</v>
      </c>
      <c r="M3149" t="s">
        <v>2229</v>
      </c>
    </row>
    <row r="3150" spans="12:13">
      <c r="L3150" s="66">
        <v>711151</v>
      </c>
      <c r="M3150" t="s">
        <v>2229</v>
      </c>
    </row>
    <row r="3151" spans="12:13">
      <c r="L3151" s="66">
        <v>711160</v>
      </c>
      <c r="M3151" t="s">
        <v>2230</v>
      </c>
    </row>
    <row r="3152" spans="12:13">
      <c r="L3152" s="66">
        <v>711161</v>
      </c>
      <c r="M3152" t="s">
        <v>2230</v>
      </c>
    </row>
    <row r="3153" spans="12:13">
      <c r="L3153" s="66">
        <v>711170</v>
      </c>
      <c r="M3153" t="s">
        <v>2231</v>
      </c>
    </row>
    <row r="3154" spans="12:13">
      <c r="L3154" s="66">
        <v>711171</v>
      </c>
      <c r="M3154" t="s">
        <v>2231</v>
      </c>
    </row>
    <row r="3155" spans="12:13">
      <c r="L3155" s="66">
        <v>711180</v>
      </c>
      <c r="M3155" t="s">
        <v>2232</v>
      </c>
    </row>
    <row r="3156" spans="12:13">
      <c r="L3156" s="66">
        <v>711181</v>
      </c>
      <c r="M3156" t="s">
        <v>2233</v>
      </c>
    </row>
    <row r="3157" spans="12:13">
      <c r="L3157" s="66">
        <v>711182</v>
      </c>
      <c r="M3157" t="s">
        <v>2234</v>
      </c>
    </row>
    <row r="3158" spans="12:13">
      <c r="L3158" s="66">
        <v>711183</v>
      </c>
      <c r="M3158" t="s">
        <v>2235</v>
      </c>
    </row>
    <row r="3159" spans="12:13">
      <c r="L3159" s="66">
        <v>711184</v>
      </c>
      <c r="M3159" t="s">
        <v>2236</v>
      </c>
    </row>
    <row r="3160" spans="12:13">
      <c r="L3160" s="66">
        <v>711185</v>
      </c>
      <c r="M3160" t="s">
        <v>2237</v>
      </c>
    </row>
    <row r="3161" spans="12:13">
      <c r="L3161" s="66">
        <v>711190</v>
      </c>
      <c r="M3161" t="s">
        <v>2238</v>
      </c>
    </row>
    <row r="3162" spans="12:13">
      <c r="L3162" s="66">
        <v>711191</v>
      </c>
      <c r="M3162" t="s">
        <v>2239</v>
      </c>
    </row>
    <row r="3163" spans="12:13">
      <c r="L3163" s="66">
        <v>711192</v>
      </c>
      <c r="M3163" t="s">
        <v>2240</v>
      </c>
    </row>
    <row r="3164" spans="12:13">
      <c r="L3164" s="66">
        <v>711193</v>
      </c>
      <c r="M3164" t="s">
        <v>2241</v>
      </c>
    </row>
    <row r="3165" spans="12:13">
      <c r="L3165" s="66">
        <v>711194</v>
      </c>
      <c r="M3165" t="s">
        <v>2242</v>
      </c>
    </row>
    <row r="3166" spans="12:13">
      <c r="L3166" s="66">
        <v>711195</v>
      </c>
      <c r="M3166" t="s">
        <v>2243</v>
      </c>
    </row>
    <row r="3167" spans="12:13">
      <c r="L3167" s="66">
        <v>711200</v>
      </c>
      <c r="M3167" t="s">
        <v>2244</v>
      </c>
    </row>
    <row r="3168" spans="12:13">
      <c r="L3168" s="66">
        <v>711210</v>
      </c>
      <c r="M3168" t="s">
        <v>2245</v>
      </c>
    </row>
    <row r="3169" spans="12:13">
      <c r="L3169" s="66">
        <v>711211</v>
      </c>
      <c r="M3169" t="s">
        <v>2246</v>
      </c>
    </row>
    <row r="3170" spans="12:13">
      <c r="L3170" s="66">
        <v>711212</v>
      </c>
      <c r="M3170" t="s">
        <v>2247</v>
      </c>
    </row>
    <row r="3171" spans="12:13">
      <c r="L3171" s="66">
        <v>711213</v>
      </c>
      <c r="M3171" t="s">
        <v>2248</v>
      </c>
    </row>
    <row r="3172" spans="12:13">
      <c r="L3172" s="66">
        <v>711214</v>
      </c>
      <c r="M3172" t="s">
        <v>2249</v>
      </c>
    </row>
    <row r="3173" spans="12:13">
      <c r="L3173" s="66">
        <v>711215</v>
      </c>
      <c r="M3173" t="s">
        <v>2250</v>
      </c>
    </row>
    <row r="3174" spans="12:13">
      <c r="L3174" s="66">
        <v>711216</v>
      </c>
      <c r="M3174" t="s">
        <v>2251</v>
      </c>
    </row>
    <row r="3175" spans="12:13">
      <c r="L3175" s="66">
        <v>711217</v>
      </c>
      <c r="M3175" t="s">
        <v>2252</v>
      </c>
    </row>
    <row r="3176" spans="12:13">
      <c r="L3176" s="66">
        <v>711218</v>
      </c>
      <c r="M3176" t="s">
        <v>2253</v>
      </c>
    </row>
    <row r="3177" spans="12:13">
      <c r="L3177" s="66">
        <v>711300</v>
      </c>
      <c r="M3177" t="s">
        <v>2254</v>
      </c>
    </row>
    <row r="3178" spans="12:13">
      <c r="L3178">
        <v>711310</v>
      </c>
      <c r="M3178" t="s">
        <v>2254</v>
      </c>
    </row>
    <row r="3179" spans="12:13">
      <c r="L3179" s="66">
        <v>711311</v>
      </c>
      <c r="M3179" t="s">
        <v>2254</v>
      </c>
    </row>
    <row r="3180" spans="12:13">
      <c r="L3180" s="66">
        <v>712000</v>
      </c>
      <c r="M3180" t="s">
        <v>2255</v>
      </c>
    </row>
    <row r="3181" spans="12:13">
      <c r="L3181" s="66">
        <v>712100</v>
      </c>
      <c r="M3181" t="s">
        <v>2255</v>
      </c>
    </row>
    <row r="3182" spans="12:13">
      <c r="L3182" s="66">
        <v>712110</v>
      </c>
      <c r="M3182" t="s">
        <v>2255</v>
      </c>
    </row>
    <row r="3183" spans="12:13">
      <c r="L3183" s="66">
        <v>712111</v>
      </c>
      <c r="M3183" t="s">
        <v>2256</v>
      </c>
    </row>
    <row r="3184" spans="12:13">
      <c r="L3184" s="66">
        <v>712112</v>
      </c>
      <c r="M3184" t="s">
        <v>2257</v>
      </c>
    </row>
    <row r="3185" spans="12:13">
      <c r="L3185" s="66">
        <v>712113</v>
      </c>
      <c r="M3185" t="s">
        <v>2258</v>
      </c>
    </row>
    <row r="3186" spans="12:13">
      <c r="L3186" s="66">
        <v>713000</v>
      </c>
      <c r="M3186" t="s">
        <v>2259</v>
      </c>
    </row>
    <row r="3187" spans="12:13">
      <c r="L3187" s="66">
        <v>713100</v>
      </c>
      <c r="M3187" t="s">
        <v>2260</v>
      </c>
    </row>
    <row r="3188" spans="12:13">
      <c r="L3188" s="66">
        <v>713110</v>
      </c>
      <c r="M3188" t="s">
        <v>2261</v>
      </c>
    </row>
    <row r="3189" spans="12:13">
      <c r="L3189" s="66">
        <v>713111</v>
      </c>
      <c r="M3189" t="s">
        <v>2262</v>
      </c>
    </row>
    <row r="3190" spans="12:13">
      <c r="L3190" s="66">
        <v>713120</v>
      </c>
      <c r="M3190" t="s">
        <v>2259</v>
      </c>
    </row>
    <row r="3191" spans="12:13">
      <c r="L3191" s="66">
        <v>713121</v>
      </c>
      <c r="M3191" t="s">
        <v>2263</v>
      </c>
    </row>
    <row r="3192" spans="12:13">
      <c r="L3192" s="66">
        <v>713122</v>
      </c>
      <c r="M3192" t="s">
        <v>2264</v>
      </c>
    </row>
    <row r="3193" spans="12:13">
      <c r="L3193" s="66">
        <v>713200</v>
      </c>
      <c r="M3193" t="s">
        <v>2265</v>
      </c>
    </row>
    <row r="3194" spans="12:13">
      <c r="L3194" s="66">
        <v>713210</v>
      </c>
      <c r="M3194" t="s">
        <v>2265</v>
      </c>
    </row>
    <row r="3195" spans="12:13">
      <c r="L3195" s="66">
        <v>713211</v>
      </c>
      <c r="M3195" t="s">
        <v>2265</v>
      </c>
    </row>
    <row r="3196" spans="12:13">
      <c r="L3196" s="66">
        <v>713300</v>
      </c>
      <c r="M3196" t="s">
        <v>2266</v>
      </c>
    </row>
    <row r="3197" spans="12:13">
      <c r="L3197" s="66">
        <v>713310</v>
      </c>
      <c r="M3197" t="s">
        <v>2267</v>
      </c>
    </row>
    <row r="3198" spans="12:13">
      <c r="L3198" s="66">
        <v>713311</v>
      </c>
      <c r="M3198" t="s">
        <v>2268</v>
      </c>
    </row>
    <row r="3199" spans="12:13">
      <c r="L3199" s="66">
        <v>713400</v>
      </c>
      <c r="M3199" t="s">
        <v>2269</v>
      </c>
    </row>
    <row r="3200" spans="12:13">
      <c r="L3200" s="66">
        <v>713410</v>
      </c>
      <c r="M3200" t="s">
        <v>1928</v>
      </c>
    </row>
    <row r="3201" spans="12:13">
      <c r="L3201" s="66">
        <v>713411</v>
      </c>
      <c r="M3201" t="s">
        <v>1928</v>
      </c>
    </row>
    <row r="3202" spans="12:13">
      <c r="L3202" s="66">
        <v>713420</v>
      </c>
      <c r="M3202" t="s">
        <v>2270</v>
      </c>
    </row>
    <row r="3203" spans="12:13">
      <c r="L3203" s="66">
        <v>713421</v>
      </c>
      <c r="M3203" t="s">
        <v>2271</v>
      </c>
    </row>
    <row r="3204" spans="12:13">
      <c r="L3204" s="66">
        <v>713422</v>
      </c>
      <c r="M3204" t="s">
        <v>2272</v>
      </c>
    </row>
    <row r="3205" spans="12:13">
      <c r="L3205" s="66">
        <v>713423</v>
      </c>
      <c r="M3205" t="s">
        <v>2273</v>
      </c>
    </row>
    <row r="3206" spans="12:13">
      <c r="L3206" s="66">
        <v>713424</v>
      </c>
      <c r="M3206" t="s">
        <v>2274</v>
      </c>
    </row>
    <row r="3207" spans="12:13">
      <c r="L3207" s="66">
        <v>713500</v>
      </c>
      <c r="M3207" t="s">
        <v>2275</v>
      </c>
    </row>
    <row r="3208" spans="12:13">
      <c r="L3208" s="66">
        <v>713510</v>
      </c>
      <c r="M3208" t="s">
        <v>2275</v>
      </c>
    </row>
    <row r="3209" spans="12:13">
      <c r="L3209" s="66">
        <v>713511</v>
      </c>
      <c r="M3209" t="s">
        <v>2275</v>
      </c>
    </row>
    <row r="3210" spans="12:13">
      <c r="L3210" s="66">
        <v>713600</v>
      </c>
      <c r="M3210" t="s">
        <v>2276</v>
      </c>
    </row>
    <row r="3211" spans="12:13">
      <c r="L3211" s="66">
        <v>713610</v>
      </c>
      <c r="M3211" t="s">
        <v>2277</v>
      </c>
    </row>
    <row r="3212" spans="12:13">
      <c r="L3212" s="66">
        <v>713611</v>
      </c>
      <c r="M3212" t="s">
        <v>2277</v>
      </c>
    </row>
    <row r="3213" spans="12:13">
      <c r="L3213" s="66">
        <v>714000</v>
      </c>
      <c r="M3213" t="s">
        <v>2278</v>
      </c>
    </row>
    <row r="3214" spans="12:13">
      <c r="L3214" s="66">
        <v>714100</v>
      </c>
      <c r="M3214" t="s">
        <v>2279</v>
      </c>
    </row>
    <row r="3215" spans="12:13">
      <c r="L3215" s="66">
        <v>714110</v>
      </c>
      <c r="M3215" t="s">
        <v>2280</v>
      </c>
    </row>
    <row r="3216" spans="12:13">
      <c r="L3216" s="66">
        <v>714111</v>
      </c>
      <c r="M3216" t="s">
        <v>2281</v>
      </c>
    </row>
    <row r="3217" spans="12:13">
      <c r="L3217" s="66">
        <v>714112</v>
      </c>
      <c r="M3217" t="s">
        <v>790</v>
      </c>
    </row>
    <row r="3218" spans="12:13">
      <c r="L3218" s="66">
        <v>714113</v>
      </c>
      <c r="M3218" t="s">
        <v>2282</v>
      </c>
    </row>
    <row r="3219" spans="12:13">
      <c r="L3219" s="66">
        <v>714114</v>
      </c>
      <c r="M3219" t="s">
        <v>2283</v>
      </c>
    </row>
    <row r="3220" spans="12:13">
      <c r="L3220" s="66">
        <v>714120</v>
      </c>
      <c r="M3220" t="s">
        <v>2284</v>
      </c>
    </row>
    <row r="3221" spans="12:13">
      <c r="L3221" s="66">
        <v>714121</v>
      </c>
      <c r="M3221" t="s">
        <v>2285</v>
      </c>
    </row>
    <row r="3222" spans="12:13">
      <c r="L3222" s="66">
        <v>714122</v>
      </c>
      <c r="M3222" t="s">
        <v>2286</v>
      </c>
    </row>
    <row r="3223" spans="12:13">
      <c r="L3223" s="66">
        <v>714123</v>
      </c>
      <c r="M3223" t="s">
        <v>2287</v>
      </c>
    </row>
    <row r="3224" spans="12:13">
      <c r="L3224" s="66">
        <v>714124</v>
      </c>
      <c r="M3224" t="s">
        <v>2288</v>
      </c>
    </row>
    <row r="3225" spans="12:13">
      <c r="L3225" s="66">
        <v>714125</v>
      </c>
      <c r="M3225" t="s">
        <v>2289</v>
      </c>
    </row>
    <row r="3226" spans="12:13">
      <c r="L3226" s="66">
        <v>714126</v>
      </c>
      <c r="M3226" t="s">
        <v>2290</v>
      </c>
    </row>
    <row r="3227" spans="12:13">
      <c r="L3227" s="66">
        <v>714127</v>
      </c>
      <c r="M3227" t="s">
        <v>2291</v>
      </c>
    </row>
    <row r="3228" spans="12:13">
      <c r="L3228" s="66">
        <v>714128</v>
      </c>
      <c r="M3228" t="s">
        <v>2292</v>
      </c>
    </row>
    <row r="3229" spans="12:13">
      <c r="L3229" s="66">
        <v>714129</v>
      </c>
      <c r="M3229" t="s">
        <v>2293</v>
      </c>
    </row>
    <row r="3230" spans="12:13">
      <c r="L3230" s="66">
        <v>714130</v>
      </c>
      <c r="M3230" t="s">
        <v>2294</v>
      </c>
    </row>
    <row r="3231" spans="12:13">
      <c r="L3231" s="66">
        <v>714131</v>
      </c>
      <c r="M3231" t="s">
        <v>2295</v>
      </c>
    </row>
    <row r="3232" spans="12:13">
      <c r="L3232" s="66">
        <v>714132</v>
      </c>
      <c r="M3232" t="s">
        <v>2296</v>
      </c>
    </row>
    <row r="3233" spans="12:13">
      <c r="L3233" s="66">
        <v>714133</v>
      </c>
      <c r="M3233" t="s">
        <v>2297</v>
      </c>
    </row>
    <row r="3234" spans="12:13">
      <c r="L3234" s="66">
        <v>714134</v>
      </c>
      <c r="M3234" t="s">
        <v>2298</v>
      </c>
    </row>
    <row r="3235" spans="12:13">
      <c r="L3235" s="66">
        <v>714135</v>
      </c>
      <c r="M3235" t="s">
        <v>2299</v>
      </c>
    </row>
    <row r="3236" spans="12:13">
      <c r="L3236" s="66">
        <v>714136</v>
      </c>
      <c r="M3236" t="s">
        <v>2300</v>
      </c>
    </row>
    <row r="3237" spans="12:13">
      <c r="L3237" s="66">
        <v>714137</v>
      </c>
      <c r="M3237" t="s">
        <v>2301</v>
      </c>
    </row>
    <row r="3238" spans="12:13">
      <c r="L3238" s="66">
        <v>714138</v>
      </c>
      <c r="M3238" t="s">
        <v>2302</v>
      </c>
    </row>
    <row r="3239" spans="12:13">
      <c r="L3239" s="66">
        <v>714139</v>
      </c>
      <c r="M3239" t="s">
        <v>2303</v>
      </c>
    </row>
    <row r="3240" spans="12:13">
      <c r="L3240" s="66">
        <v>714140</v>
      </c>
      <c r="M3240" t="s">
        <v>2304</v>
      </c>
    </row>
    <row r="3241" spans="12:13">
      <c r="L3241" s="66">
        <v>714141</v>
      </c>
      <c r="M3241" t="s">
        <v>2304</v>
      </c>
    </row>
    <row r="3242" spans="12:13">
      <c r="L3242" s="66">
        <v>714300</v>
      </c>
      <c r="M3242" t="s">
        <v>2305</v>
      </c>
    </row>
    <row r="3243" spans="12:13">
      <c r="L3243" s="66">
        <v>714310</v>
      </c>
      <c r="M3243" t="s">
        <v>2305</v>
      </c>
    </row>
    <row r="3244" spans="12:13">
      <c r="L3244" s="66">
        <v>714311</v>
      </c>
      <c r="M3244" t="s">
        <v>2305</v>
      </c>
    </row>
    <row r="3245" spans="12:13">
      <c r="L3245" s="66">
        <v>714400</v>
      </c>
      <c r="M3245" t="s">
        <v>2306</v>
      </c>
    </row>
    <row r="3246" spans="12:13">
      <c r="L3246" s="66">
        <v>714420</v>
      </c>
      <c r="M3246" t="s">
        <v>2307</v>
      </c>
    </row>
    <row r="3247" spans="12:13">
      <c r="L3247" s="66">
        <v>714421</v>
      </c>
      <c r="M3247" t="s">
        <v>2308</v>
      </c>
    </row>
    <row r="3248" spans="12:13">
      <c r="L3248" s="66">
        <v>714430</v>
      </c>
      <c r="M3248" t="s">
        <v>2309</v>
      </c>
    </row>
    <row r="3249" spans="12:13">
      <c r="L3249" s="66">
        <v>714431</v>
      </c>
      <c r="M3249" t="s">
        <v>2309</v>
      </c>
    </row>
    <row r="3250" spans="12:13">
      <c r="L3250" s="66">
        <v>714440</v>
      </c>
      <c r="M3250" t="s">
        <v>2310</v>
      </c>
    </row>
    <row r="3251" spans="12:13">
      <c r="L3251" s="66">
        <v>714442</v>
      </c>
      <c r="M3251" t="s">
        <v>2311</v>
      </c>
    </row>
    <row r="3252" spans="12:13">
      <c r="L3252" s="66">
        <v>714443</v>
      </c>
      <c r="M3252" t="s">
        <v>2312</v>
      </c>
    </row>
    <row r="3253" spans="12:13">
      <c r="L3253" s="66">
        <v>714444</v>
      </c>
      <c r="M3253" t="s">
        <v>2313</v>
      </c>
    </row>
    <row r="3254" spans="12:13">
      <c r="L3254" s="66">
        <v>714445</v>
      </c>
      <c r="M3254" t="s">
        <v>2314</v>
      </c>
    </row>
    <row r="3255" spans="12:13">
      <c r="L3255" s="66">
        <v>714446</v>
      </c>
      <c r="M3255" t="s">
        <v>2315</v>
      </c>
    </row>
    <row r="3256" spans="12:13">
      <c r="L3256" s="66">
        <v>714447</v>
      </c>
      <c r="M3256" t="s">
        <v>2316</v>
      </c>
    </row>
    <row r="3257" spans="12:13">
      <c r="L3257" s="66">
        <v>714500</v>
      </c>
      <c r="M3257" t="s">
        <v>2317</v>
      </c>
    </row>
    <row r="3258" spans="12:13">
      <c r="L3258" s="66">
        <v>714510</v>
      </c>
      <c r="M3258" t="s">
        <v>2318</v>
      </c>
    </row>
    <row r="3259" spans="12:13">
      <c r="L3259" s="66">
        <v>714511</v>
      </c>
      <c r="M3259" t="s">
        <v>2319</v>
      </c>
    </row>
    <row r="3260" spans="12:13">
      <c r="L3260" s="66">
        <v>714512</v>
      </c>
      <c r="M3260" t="s">
        <v>2320</v>
      </c>
    </row>
    <row r="3261" spans="12:13">
      <c r="L3261" s="66">
        <v>714513</v>
      </c>
      <c r="M3261" t="s">
        <v>2321</v>
      </c>
    </row>
    <row r="3262" spans="12:13">
      <c r="L3262" s="66">
        <v>714514</v>
      </c>
      <c r="M3262" t="s">
        <v>2322</v>
      </c>
    </row>
    <row r="3263" spans="12:13">
      <c r="L3263" s="66">
        <v>714516</v>
      </c>
      <c r="M3263" t="s">
        <v>2323</v>
      </c>
    </row>
    <row r="3264" spans="12:13">
      <c r="L3264" s="66">
        <v>714517</v>
      </c>
      <c r="M3264" t="s">
        <v>2324</v>
      </c>
    </row>
    <row r="3265" spans="12:13">
      <c r="L3265" s="66">
        <v>714520</v>
      </c>
      <c r="M3265" t="s">
        <v>2325</v>
      </c>
    </row>
    <row r="3266" spans="12:13">
      <c r="L3266" s="66">
        <v>714521</v>
      </c>
      <c r="M3266" t="s">
        <v>2326</v>
      </c>
    </row>
    <row r="3267" spans="12:13">
      <c r="L3267" s="66">
        <v>714522</v>
      </c>
      <c r="M3267" t="s">
        <v>2327</v>
      </c>
    </row>
    <row r="3268" spans="12:13">
      <c r="L3268" s="66">
        <v>714523</v>
      </c>
      <c r="M3268" t="s">
        <v>2328</v>
      </c>
    </row>
    <row r="3269" spans="12:13">
      <c r="L3269" s="66">
        <v>714524</v>
      </c>
      <c r="M3269" t="s">
        <v>2329</v>
      </c>
    </row>
    <row r="3270" spans="12:13">
      <c r="L3270" s="66">
        <v>714525</v>
      </c>
      <c r="M3270" t="s">
        <v>2330</v>
      </c>
    </row>
    <row r="3271" spans="12:13">
      <c r="L3271" s="66">
        <v>714530</v>
      </c>
      <c r="M3271" t="s">
        <v>2331</v>
      </c>
    </row>
    <row r="3272" spans="12:13">
      <c r="L3272" s="66">
        <v>714531</v>
      </c>
      <c r="M3272" t="s">
        <v>2332</v>
      </c>
    </row>
    <row r="3273" spans="12:13">
      <c r="L3273" s="66">
        <v>714532</v>
      </c>
      <c r="M3273" t="s">
        <v>2333</v>
      </c>
    </row>
    <row r="3274" spans="12:13">
      <c r="L3274" s="66">
        <v>714533</v>
      </c>
      <c r="M3274" t="s">
        <v>2334</v>
      </c>
    </row>
    <row r="3275" spans="12:13">
      <c r="L3275" s="66">
        <v>714536</v>
      </c>
      <c r="M3275" t="s">
        <v>2335</v>
      </c>
    </row>
    <row r="3276" spans="12:13">
      <c r="L3276" s="66">
        <v>714540</v>
      </c>
      <c r="M3276" t="s">
        <v>2336</v>
      </c>
    </row>
    <row r="3277" spans="12:13">
      <c r="L3277" s="66">
        <v>714541</v>
      </c>
      <c r="M3277" t="s">
        <v>2337</v>
      </c>
    </row>
    <row r="3278" spans="12:13">
      <c r="L3278" s="66">
        <v>714542</v>
      </c>
      <c r="M3278" t="s">
        <v>2338</v>
      </c>
    </row>
    <row r="3279" spans="12:13">
      <c r="L3279" s="66">
        <v>714543</v>
      </c>
      <c r="M3279" t="s">
        <v>2339</v>
      </c>
    </row>
    <row r="3280" spans="12:13">
      <c r="L3280" s="66">
        <v>714544</v>
      </c>
      <c r="M3280" t="s">
        <v>2340</v>
      </c>
    </row>
    <row r="3281" spans="12:13">
      <c r="L3281" s="66">
        <v>714545</v>
      </c>
      <c r="M3281" t="s">
        <v>2341</v>
      </c>
    </row>
    <row r="3282" spans="12:13">
      <c r="L3282" s="66">
        <v>714546</v>
      </c>
      <c r="M3282" t="s">
        <v>2342</v>
      </c>
    </row>
    <row r="3283" spans="12:13">
      <c r="L3283" s="66">
        <v>714547</v>
      </c>
      <c r="M3283" t="s">
        <v>2343</v>
      </c>
    </row>
    <row r="3284" spans="12:13">
      <c r="L3284" s="66">
        <v>714548</v>
      </c>
      <c r="M3284" t="s">
        <v>2344</v>
      </c>
    </row>
    <row r="3285" spans="12:13">
      <c r="L3285" s="66">
        <v>714549</v>
      </c>
      <c r="M3285" t="s">
        <v>2345</v>
      </c>
    </row>
    <row r="3286" spans="12:13">
      <c r="L3286" s="66">
        <v>714550</v>
      </c>
      <c r="M3286" t="s">
        <v>2346</v>
      </c>
    </row>
    <row r="3287" spans="12:13">
      <c r="L3287" s="66">
        <v>714551</v>
      </c>
      <c r="M3287" t="s">
        <v>2347</v>
      </c>
    </row>
    <row r="3288" spans="12:13">
      <c r="L3288" s="66">
        <v>714552</v>
      </c>
      <c r="M3288" t="s">
        <v>2348</v>
      </c>
    </row>
    <row r="3289" spans="12:13">
      <c r="L3289" s="66">
        <v>714560</v>
      </c>
      <c r="M3289" t="s">
        <v>2349</v>
      </c>
    </row>
    <row r="3290" spans="12:13">
      <c r="L3290" s="66">
        <v>714562</v>
      </c>
      <c r="M3290" t="s">
        <v>2350</v>
      </c>
    </row>
    <row r="3291" spans="12:13">
      <c r="L3291" s="66">
        <v>714563</v>
      </c>
      <c r="M3291" t="s">
        <v>2351</v>
      </c>
    </row>
    <row r="3292" spans="12:13">
      <c r="L3292" s="66">
        <v>714564</v>
      </c>
      <c r="M3292" t="s">
        <v>2352</v>
      </c>
    </row>
    <row r="3293" spans="12:13">
      <c r="L3293" s="66">
        <v>714570</v>
      </c>
      <c r="M3293" t="s">
        <v>2353</v>
      </c>
    </row>
    <row r="3294" spans="12:13">
      <c r="L3294" s="66">
        <v>714571</v>
      </c>
      <c r="M3294" t="s">
        <v>2354</v>
      </c>
    </row>
    <row r="3295" spans="12:13">
      <c r="L3295" s="66">
        <v>714572</v>
      </c>
      <c r="M3295" t="s">
        <v>2355</v>
      </c>
    </row>
    <row r="3296" spans="12:13">
      <c r="L3296" s="66">
        <v>714573</v>
      </c>
      <c r="M3296" t="s">
        <v>2356</v>
      </c>
    </row>
    <row r="3297" spans="12:13">
      <c r="L3297" s="66">
        <v>714574</v>
      </c>
      <c r="M3297" t="s">
        <v>2357</v>
      </c>
    </row>
    <row r="3298" spans="12:13">
      <c r="L3298" s="66">
        <v>714575</v>
      </c>
      <c r="M3298" t="s">
        <v>2358</v>
      </c>
    </row>
    <row r="3299" spans="12:13">
      <c r="L3299" s="66">
        <v>714576</v>
      </c>
      <c r="M3299" t="s">
        <v>2359</v>
      </c>
    </row>
    <row r="3300" spans="12:13">
      <c r="L3300" s="66">
        <v>714580</v>
      </c>
      <c r="M3300" t="s">
        <v>2360</v>
      </c>
    </row>
    <row r="3301" spans="12:13">
      <c r="L3301" s="66">
        <v>714581</v>
      </c>
      <c r="M3301" t="s">
        <v>2361</v>
      </c>
    </row>
    <row r="3302" spans="12:13">
      <c r="L3302" s="66">
        <v>714582</v>
      </c>
      <c r="M3302" t="s">
        <v>2362</v>
      </c>
    </row>
    <row r="3303" spans="12:13">
      <c r="L3303" s="66">
        <v>714583</v>
      </c>
      <c r="M3303" t="s">
        <v>2363</v>
      </c>
    </row>
    <row r="3304" spans="12:13">
      <c r="L3304" s="66">
        <v>714584</v>
      </c>
      <c r="M3304" t="s">
        <v>2364</v>
      </c>
    </row>
    <row r="3305" spans="12:13">
      <c r="L3305" s="66">
        <v>714585</v>
      </c>
      <c r="M3305" t="s">
        <v>2365</v>
      </c>
    </row>
    <row r="3306" spans="12:13">
      <c r="L3306" s="66">
        <v>714586</v>
      </c>
      <c r="M3306" t="s">
        <v>2366</v>
      </c>
    </row>
    <row r="3307" spans="12:13">
      <c r="L3307" s="66">
        <v>714587</v>
      </c>
      <c r="M3307" t="s">
        <v>2367</v>
      </c>
    </row>
    <row r="3308" spans="12:13">
      <c r="L3308" s="66">
        <v>714590</v>
      </c>
      <c r="M3308" t="s">
        <v>2368</v>
      </c>
    </row>
    <row r="3309" spans="12:13">
      <c r="L3309" s="66">
        <v>714591</v>
      </c>
      <c r="M3309" t="s">
        <v>2369</v>
      </c>
    </row>
    <row r="3310" spans="12:13">
      <c r="L3310" s="66">
        <v>714592</v>
      </c>
      <c r="M3310" t="s">
        <v>2370</v>
      </c>
    </row>
    <row r="3311" spans="12:13">
      <c r="L3311" s="66">
        <v>714593</v>
      </c>
      <c r="M3311" t="s">
        <v>2371</v>
      </c>
    </row>
    <row r="3312" spans="12:13">
      <c r="L3312" s="66">
        <v>714594</v>
      </c>
      <c r="M3312" t="s">
        <v>2372</v>
      </c>
    </row>
    <row r="3313" spans="12:13">
      <c r="L3313" s="66">
        <v>714595</v>
      </c>
      <c r="M3313" t="s">
        <v>2373</v>
      </c>
    </row>
    <row r="3314" spans="12:13">
      <c r="L3314" s="66">
        <v>714596</v>
      </c>
      <c r="M3314" t="s">
        <v>2374</v>
      </c>
    </row>
    <row r="3315" spans="12:13">
      <c r="L3315" s="66">
        <v>714597</v>
      </c>
      <c r="M3315" t="s">
        <v>2375</v>
      </c>
    </row>
    <row r="3316" spans="12:13">
      <c r="L3316" s="66">
        <v>714598</v>
      </c>
      <c r="M3316" t="s">
        <v>2376</v>
      </c>
    </row>
    <row r="3317" spans="12:13">
      <c r="L3317" s="66">
        <v>714599</v>
      </c>
      <c r="M3317" t="s">
        <v>2377</v>
      </c>
    </row>
    <row r="3318" spans="12:13">
      <c r="L3318" s="66">
        <v>714600</v>
      </c>
      <c r="M3318" t="s">
        <v>2378</v>
      </c>
    </row>
    <row r="3319" spans="12:13">
      <c r="L3319" s="66">
        <v>714610</v>
      </c>
      <c r="M3319" t="s">
        <v>2378</v>
      </c>
    </row>
    <row r="3320" spans="12:13">
      <c r="L3320" s="66">
        <v>714611</v>
      </c>
      <c r="M3320" t="s">
        <v>2378</v>
      </c>
    </row>
    <row r="3321" spans="12:13">
      <c r="L3321" s="66">
        <v>715000</v>
      </c>
      <c r="M3321" t="s">
        <v>2379</v>
      </c>
    </row>
    <row r="3322" spans="12:13">
      <c r="L3322" s="66">
        <v>715100</v>
      </c>
      <c r="M3322" t="s">
        <v>2380</v>
      </c>
    </row>
    <row r="3323" spans="12:13">
      <c r="L3323" s="66">
        <v>715110</v>
      </c>
      <c r="M3323" t="s">
        <v>2381</v>
      </c>
    </row>
    <row r="3324" spans="12:13">
      <c r="L3324" s="66">
        <v>715111</v>
      </c>
      <c r="M3324" t="s">
        <v>2381</v>
      </c>
    </row>
    <row r="3325" spans="12:13">
      <c r="L3325" s="66">
        <v>715120</v>
      </c>
      <c r="M3325" t="s">
        <v>2382</v>
      </c>
    </row>
    <row r="3326" spans="12:13">
      <c r="L3326" s="66">
        <v>715121</v>
      </c>
      <c r="M3326" t="s">
        <v>2382</v>
      </c>
    </row>
    <row r="3327" spans="12:13">
      <c r="L3327" s="66">
        <v>715190</v>
      </c>
      <c r="M3327" t="s">
        <v>2383</v>
      </c>
    </row>
    <row r="3328" spans="12:13">
      <c r="L3328" s="66">
        <v>715191</v>
      </c>
      <c r="M3328" t="s">
        <v>2384</v>
      </c>
    </row>
    <row r="3329" spans="12:13">
      <c r="L3329" s="66">
        <v>715192</v>
      </c>
      <c r="M3329" t="s">
        <v>2385</v>
      </c>
    </row>
    <row r="3330" spans="12:13">
      <c r="L3330" s="66">
        <v>715193</v>
      </c>
      <c r="M3330" t="s">
        <v>2386</v>
      </c>
    </row>
    <row r="3331" spans="12:13">
      <c r="L3331" s="66">
        <v>715200</v>
      </c>
      <c r="M3331" t="s">
        <v>2387</v>
      </c>
    </row>
    <row r="3332" spans="12:13">
      <c r="L3332" s="66">
        <v>715210</v>
      </c>
      <c r="M3332" t="s">
        <v>2387</v>
      </c>
    </row>
    <row r="3333" spans="12:13">
      <c r="L3333" s="66">
        <v>715211</v>
      </c>
      <c r="M3333" t="s">
        <v>2387</v>
      </c>
    </row>
    <row r="3334" spans="12:13">
      <c r="L3334" s="66">
        <v>715300</v>
      </c>
      <c r="M3334" t="s">
        <v>2388</v>
      </c>
    </row>
    <row r="3335" spans="12:13">
      <c r="L3335" s="66">
        <v>715310</v>
      </c>
      <c r="M3335" t="s">
        <v>2388</v>
      </c>
    </row>
    <row r="3336" spans="12:13">
      <c r="L3336" s="66">
        <v>715311</v>
      </c>
      <c r="M3336" t="s">
        <v>2388</v>
      </c>
    </row>
    <row r="3337" spans="12:13">
      <c r="L3337" s="66">
        <v>715400</v>
      </c>
      <c r="M3337" t="s">
        <v>2389</v>
      </c>
    </row>
    <row r="3338" spans="12:13">
      <c r="L3338" s="66">
        <v>715410</v>
      </c>
      <c r="M3338" t="s">
        <v>2389</v>
      </c>
    </row>
    <row r="3339" spans="12:13">
      <c r="L3339" s="66">
        <v>715411</v>
      </c>
      <c r="M3339" t="s">
        <v>2389</v>
      </c>
    </row>
    <row r="3340" spans="12:13">
      <c r="L3340" s="66">
        <v>715500</v>
      </c>
      <c r="M3340" t="s">
        <v>2390</v>
      </c>
    </row>
    <row r="3341" spans="12:13">
      <c r="L3341" s="66">
        <v>715510</v>
      </c>
      <c r="M3341" t="s">
        <v>2390</v>
      </c>
    </row>
    <row r="3342" spans="12:13">
      <c r="L3342" s="66">
        <v>715511</v>
      </c>
      <c r="M3342" t="s">
        <v>2390</v>
      </c>
    </row>
    <row r="3343" spans="12:13">
      <c r="L3343" s="66">
        <v>715600</v>
      </c>
      <c r="M3343" t="s">
        <v>2391</v>
      </c>
    </row>
    <row r="3344" spans="12:13">
      <c r="L3344" s="66">
        <v>715610</v>
      </c>
      <c r="M3344" t="s">
        <v>2391</v>
      </c>
    </row>
    <row r="3345" spans="12:13">
      <c r="L3345" s="66">
        <v>715611</v>
      </c>
      <c r="M3345" t="s">
        <v>2391</v>
      </c>
    </row>
    <row r="3346" spans="12:13">
      <c r="L3346" s="66">
        <v>716000</v>
      </c>
      <c r="M3346" t="s">
        <v>2393</v>
      </c>
    </row>
    <row r="3347" spans="12:13">
      <c r="L3347" s="66">
        <v>716100</v>
      </c>
      <c r="M3347" t="s">
        <v>2394</v>
      </c>
    </row>
    <row r="3348" spans="12:13">
      <c r="L3348" s="66">
        <v>716110</v>
      </c>
      <c r="M3348" t="s">
        <v>2395</v>
      </c>
    </row>
    <row r="3349" spans="12:13">
      <c r="L3349" s="66">
        <v>716111</v>
      </c>
      <c r="M3349" t="s">
        <v>2397</v>
      </c>
    </row>
    <row r="3350" spans="12:13">
      <c r="L3350" s="66">
        <v>716112</v>
      </c>
      <c r="M3350" t="s">
        <v>2398</v>
      </c>
    </row>
    <row r="3351" spans="12:13">
      <c r="L3351" s="66">
        <v>716200</v>
      </c>
      <c r="M3351" t="s">
        <v>2399</v>
      </c>
    </row>
    <row r="3352" spans="12:13">
      <c r="L3352" s="66">
        <v>716210</v>
      </c>
      <c r="M3352" t="s">
        <v>2400</v>
      </c>
    </row>
    <row r="3353" spans="12:13">
      <c r="L3353" s="66">
        <v>716211</v>
      </c>
      <c r="M3353" t="s">
        <v>2400</v>
      </c>
    </row>
    <row r="3354" spans="12:13">
      <c r="L3354" s="66">
        <v>716220</v>
      </c>
      <c r="M3354" t="s">
        <v>2401</v>
      </c>
    </row>
    <row r="3355" spans="12:13">
      <c r="L3355" s="66">
        <v>716221</v>
      </c>
      <c r="M3355" t="s">
        <v>2402</v>
      </c>
    </row>
    <row r="3356" spans="12:13">
      <c r="L3356" s="66">
        <v>716222</v>
      </c>
      <c r="M3356" t="s">
        <v>2403</v>
      </c>
    </row>
    <row r="3357" spans="12:13">
      <c r="L3357" s="66">
        <v>716223</v>
      </c>
      <c r="M3357" t="s">
        <v>2404</v>
      </c>
    </row>
    <row r="3358" spans="12:13">
      <c r="L3358" s="66">
        <v>716224</v>
      </c>
      <c r="M3358" t="s">
        <v>2405</v>
      </c>
    </row>
    <row r="3359" spans="12:13">
      <c r="L3359" s="66">
        <v>716225</v>
      </c>
      <c r="M3359" t="s">
        <v>2406</v>
      </c>
    </row>
    <row r="3360" spans="12:13">
      <c r="L3360" s="66">
        <v>716226</v>
      </c>
      <c r="M3360" t="s">
        <v>2407</v>
      </c>
    </row>
    <row r="3361" spans="12:13">
      <c r="L3361" s="66">
        <v>716227</v>
      </c>
      <c r="M3361" t="s">
        <v>2408</v>
      </c>
    </row>
    <row r="3362" spans="12:13">
      <c r="L3362" s="66">
        <v>716228</v>
      </c>
      <c r="M3362" t="s">
        <v>2409</v>
      </c>
    </row>
    <row r="3363" spans="12:13">
      <c r="L3363" s="66">
        <v>716229</v>
      </c>
      <c r="M3363" t="s">
        <v>2410</v>
      </c>
    </row>
    <row r="3364" spans="12:13">
      <c r="L3364" s="66">
        <v>717000</v>
      </c>
      <c r="M3364" t="s">
        <v>2411</v>
      </c>
    </row>
    <row r="3365" spans="12:13">
      <c r="L3365" s="66">
        <v>717100</v>
      </c>
      <c r="M3365" t="s">
        <v>2412</v>
      </c>
    </row>
    <row r="3366" spans="12:13">
      <c r="L3366" s="66">
        <v>717110</v>
      </c>
      <c r="M3366" t="s">
        <v>2413</v>
      </c>
    </row>
    <row r="3367" spans="12:13">
      <c r="L3367" s="66">
        <v>717111</v>
      </c>
      <c r="M3367" t="s">
        <v>2414</v>
      </c>
    </row>
    <row r="3368" spans="12:13">
      <c r="L3368" s="66">
        <v>717112</v>
      </c>
      <c r="M3368" t="s">
        <v>2415</v>
      </c>
    </row>
    <row r="3369" spans="12:13">
      <c r="L3369" s="66">
        <v>717113</v>
      </c>
      <c r="M3369" t="s">
        <v>2416</v>
      </c>
    </row>
    <row r="3370" spans="12:13">
      <c r="L3370" s="66">
        <v>717114</v>
      </c>
      <c r="M3370" t="s">
        <v>2417</v>
      </c>
    </row>
    <row r="3371" spans="12:13">
      <c r="L3371" s="66">
        <v>717115</v>
      </c>
      <c r="M3371" t="s">
        <v>2418</v>
      </c>
    </row>
    <row r="3372" spans="12:13">
      <c r="L3372" s="66">
        <v>717116</v>
      </c>
      <c r="M3372" t="s">
        <v>2419</v>
      </c>
    </row>
    <row r="3373" spans="12:13">
      <c r="L3373" s="66">
        <v>717117</v>
      </c>
      <c r="M3373" t="s">
        <v>2420</v>
      </c>
    </row>
    <row r="3374" spans="12:13">
      <c r="L3374" s="66">
        <v>717118</v>
      </c>
      <c r="M3374" t="s">
        <v>2421</v>
      </c>
    </row>
    <row r="3375" spans="12:13">
      <c r="L3375" s="66">
        <v>717119</v>
      </c>
      <c r="M3375" t="s">
        <v>2422</v>
      </c>
    </row>
    <row r="3376" spans="12:13">
      <c r="L3376" s="66">
        <v>717120</v>
      </c>
      <c r="M3376" t="s">
        <v>2423</v>
      </c>
    </row>
    <row r="3377" spans="12:13">
      <c r="L3377" s="66">
        <v>717121</v>
      </c>
      <c r="M3377" t="s">
        <v>2424</v>
      </c>
    </row>
    <row r="3378" spans="12:13">
      <c r="L3378" s="66">
        <v>717122</v>
      </c>
      <c r="M3378" t="s">
        <v>2425</v>
      </c>
    </row>
    <row r="3379" spans="12:13">
      <c r="L3379" s="66">
        <v>717123</v>
      </c>
      <c r="M3379" t="s">
        <v>2426</v>
      </c>
    </row>
    <row r="3380" spans="12:13">
      <c r="L3380" s="66">
        <v>717124</v>
      </c>
      <c r="M3380" t="s">
        <v>2427</v>
      </c>
    </row>
    <row r="3381" spans="12:13">
      <c r="L3381" s="66">
        <v>717125</v>
      </c>
      <c r="M3381" t="s">
        <v>2428</v>
      </c>
    </row>
    <row r="3382" spans="12:13">
      <c r="L3382" s="66">
        <v>717126</v>
      </c>
      <c r="M3382" t="s">
        <v>2429</v>
      </c>
    </row>
    <row r="3383" spans="12:13">
      <c r="L3383" s="66">
        <v>717127</v>
      </c>
      <c r="M3383" t="s">
        <v>2430</v>
      </c>
    </row>
    <row r="3384" spans="12:13">
      <c r="L3384" s="66">
        <v>717128</v>
      </c>
      <c r="M3384" t="s">
        <v>2431</v>
      </c>
    </row>
    <row r="3385" spans="12:13">
      <c r="L3385" s="66">
        <v>717129</v>
      </c>
      <c r="M3385" t="s">
        <v>2432</v>
      </c>
    </row>
    <row r="3386" spans="12:13">
      <c r="L3386" s="66">
        <v>717130</v>
      </c>
      <c r="M3386" t="s">
        <v>2433</v>
      </c>
    </row>
    <row r="3387" spans="12:13">
      <c r="L3387" s="66">
        <v>717131</v>
      </c>
      <c r="M3387" t="s">
        <v>2434</v>
      </c>
    </row>
    <row r="3388" spans="12:13">
      <c r="L3388" s="66">
        <v>717132</v>
      </c>
      <c r="M3388" t="s">
        <v>2435</v>
      </c>
    </row>
    <row r="3389" spans="12:13">
      <c r="L3389" s="66">
        <v>717133</v>
      </c>
      <c r="M3389" t="s">
        <v>2436</v>
      </c>
    </row>
    <row r="3390" spans="12:13">
      <c r="L3390" s="66">
        <v>717134</v>
      </c>
      <c r="M3390" t="s">
        <v>2437</v>
      </c>
    </row>
    <row r="3391" spans="12:13">
      <c r="L3391" s="66">
        <v>717140</v>
      </c>
      <c r="M3391" t="s">
        <v>2438</v>
      </c>
    </row>
    <row r="3392" spans="12:13">
      <c r="L3392" s="66">
        <v>717141</v>
      </c>
      <c r="M3392" t="s">
        <v>2439</v>
      </c>
    </row>
    <row r="3393" spans="12:13">
      <c r="L3393" s="66">
        <v>717142</v>
      </c>
      <c r="M3393" t="s">
        <v>2440</v>
      </c>
    </row>
    <row r="3394" spans="12:13">
      <c r="L3394" s="66">
        <v>717143</v>
      </c>
      <c r="M3394" t="s">
        <v>2441</v>
      </c>
    </row>
    <row r="3395" spans="12:13">
      <c r="L3395" s="66">
        <v>717144</v>
      </c>
      <c r="M3395" t="s">
        <v>2442</v>
      </c>
    </row>
    <row r="3396" spans="12:13">
      <c r="L3396" s="66">
        <v>717150</v>
      </c>
      <c r="M3396" t="s">
        <v>2443</v>
      </c>
    </row>
    <row r="3397" spans="12:13">
      <c r="L3397" s="66">
        <v>717151</v>
      </c>
      <c r="M3397" t="s">
        <v>2444</v>
      </c>
    </row>
    <row r="3398" spans="12:13">
      <c r="L3398" s="66">
        <v>717152</v>
      </c>
      <c r="M3398" t="s">
        <v>2445</v>
      </c>
    </row>
    <row r="3399" spans="12:13">
      <c r="L3399" s="66">
        <v>717200</v>
      </c>
      <c r="M3399" t="s">
        <v>2446</v>
      </c>
    </row>
    <row r="3400" spans="12:13">
      <c r="L3400" s="66">
        <v>717210</v>
      </c>
      <c r="M3400" t="s">
        <v>2447</v>
      </c>
    </row>
    <row r="3401" spans="12:13">
      <c r="L3401" s="66">
        <v>717211</v>
      </c>
      <c r="M3401" t="s">
        <v>2448</v>
      </c>
    </row>
    <row r="3402" spans="12:13">
      <c r="L3402" s="66">
        <v>717212</v>
      </c>
      <c r="M3402" t="s">
        <v>2449</v>
      </c>
    </row>
    <row r="3403" spans="12:13">
      <c r="L3403" s="66">
        <v>717213</v>
      </c>
      <c r="M3403" t="s">
        <v>2450</v>
      </c>
    </row>
    <row r="3404" spans="12:13">
      <c r="L3404" s="66">
        <v>717214</v>
      </c>
      <c r="M3404" t="s">
        <v>2451</v>
      </c>
    </row>
    <row r="3405" spans="12:13">
      <c r="L3405" s="66">
        <v>717215</v>
      </c>
      <c r="M3405" t="s">
        <v>2452</v>
      </c>
    </row>
    <row r="3406" spans="12:13">
      <c r="L3406" s="66">
        <v>717220</v>
      </c>
      <c r="M3406" t="s">
        <v>2453</v>
      </c>
    </row>
    <row r="3407" spans="12:13">
      <c r="L3407" s="66">
        <v>717221</v>
      </c>
      <c r="M3407" t="s">
        <v>2454</v>
      </c>
    </row>
    <row r="3408" spans="12:13">
      <c r="L3408" s="66">
        <v>717222</v>
      </c>
      <c r="M3408" t="s">
        <v>2455</v>
      </c>
    </row>
    <row r="3409" spans="12:13">
      <c r="L3409" s="66">
        <v>717223</v>
      </c>
      <c r="M3409" t="s">
        <v>2456</v>
      </c>
    </row>
    <row r="3410" spans="12:13">
      <c r="L3410" s="66">
        <v>717300</v>
      </c>
      <c r="M3410" t="s">
        <v>2457</v>
      </c>
    </row>
    <row r="3411" spans="12:13">
      <c r="L3411" s="66">
        <v>717310</v>
      </c>
      <c r="M3411" t="s">
        <v>2458</v>
      </c>
    </row>
    <row r="3412" spans="12:13">
      <c r="L3412" s="66">
        <v>717311</v>
      </c>
      <c r="M3412" t="s">
        <v>2459</v>
      </c>
    </row>
    <row r="3413" spans="12:13">
      <c r="L3413" s="66">
        <v>717312</v>
      </c>
      <c r="M3413" t="s">
        <v>2460</v>
      </c>
    </row>
    <row r="3414" spans="12:13">
      <c r="L3414" s="66">
        <v>717313</v>
      </c>
      <c r="M3414" t="s">
        <v>2461</v>
      </c>
    </row>
    <row r="3415" spans="12:13">
      <c r="L3415" s="66">
        <v>717314</v>
      </c>
      <c r="M3415" t="s">
        <v>2462</v>
      </c>
    </row>
    <row r="3416" spans="12:13">
      <c r="L3416" s="66">
        <v>717315</v>
      </c>
      <c r="M3416" t="s">
        <v>2463</v>
      </c>
    </row>
    <row r="3417" spans="12:13">
      <c r="L3417" s="66">
        <v>717316</v>
      </c>
      <c r="M3417" t="s">
        <v>2464</v>
      </c>
    </row>
    <row r="3418" spans="12:13">
      <c r="L3418" s="66">
        <v>717317</v>
      </c>
      <c r="M3418" t="s">
        <v>2465</v>
      </c>
    </row>
    <row r="3419" spans="12:13">
      <c r="L3419" s="66">
        <v>717320</v>
      </c>
      <c r="M3419" t="s">
        <v>2466</v>
      </c>
    </row>
    <row r="3420" spans="12:13">
      <c r="L3420" s="66">
        <v>717321</v>
      </c>
      <c r="M3420" t="s">
        <v>2467</v>
      </c>
    </row>
    <row r="3421" spans="12:13">
      <c r="L3421" s="66">
        <v>717322</v>
      </c>
      <c r="M3421" t="s">
        <v>2468</v>
      </c>
    </row>
    <row r="3422" spans="12:13">
      <c r="L3422" s="66">
        <v>717323</v>
      </c>
      <c r="M3422" t="s">
        <v>2469</v>
      </c>
    </row>
    <row r="3423" spans="12:13">
      <c r="L3423" s="66">
        <v>717324</v>
      </c>
      <c r="M3423" t="s">
        <v>2470</v>
      </c>
    </row>
    <row r="3424" spans="12:13">
      <c r="L3424" s="66">
        <v>717325</v>
      </c>
      <c r="M3424" t="s">
        <v>2471</v>
      </c>
    </row>
    <row r="3425" spans="12:13">
      <c r="L3425" s="66">
        <v>717326</v>
      </c>
      <c r="M3425" t="s">
        <v>2472</v>
      </c>
    </row>
    <row r="3426" spans="12:13">
      <c r="L3426" s="66">
        <v>717327</v>
      </c>
      <c r="M3426" t="s">
        <v>2473</v>
      </c>
    </row>
    <row r="3427" spans="12:13">
      <c r="L3427" s="66">
        <v>717400</v>
      </c>
      <c r="M3427" t="s">
        <v>2474</v>
      </c>
    </row>
    <row r="3428" spans="12:13">
      <c r="L3428" s="66">
        <v>717410</v>
      </c>
      <c r="M3428" t="s">
        <v>2475</v>
      </c>
    </row>
    <row r="3429" spans="12:13">
      <c r="L3429" s="66">
        <v>717411</v>
      </c>
      <c r="M3429" t="s">
        <v>2475</v>
      </c>
    </row>
    <row r="3430" spans="12:13">
      <c r="L3430" s="66">
        <v>717500</v>
      </c>
      <c r="M3430" t="s">
        <v>2476</v>
      </c>
    </row>
    <row r="3431" spans="12:13">
      <c r="L3431" s="66">
        <v>717510</v>
      </c>
      <c r="M3431" t="s">
        <v>2477</v>
      </c>
    </row>
    <row r="3432" spans="12:13">
      <c r="L3432" s="66">
        <v>717511</v>
      </c>
      <c r="M3432" t="s">
        <v>2478</v>
      </c>
    </row>
    <row r="3433" spans="12:13">
      <c r="L3433" s="66">
        <v>717512</v>
      </c>
      <c r="M3433" t="s">
        <v>2479</v>
      </c>
    </row>
    <row r="3434" spans="12:13">
      <c r="L3434" s="66">
        <v>717513</v>
      </c>
      <c r="M3434" t="s">
        <v>2480</v>
      </c>
    </row>
    <row r="3435" spans="12:13">
      <c r="L3435" s="66">
        <v>717514</v>
      </c>
      <c r="M3435" t="s">
        <v>2481</v>
      </c>
    </row>
    <row r="3436" spans="12:13">
      <c r="L3436" s="66">
        <v>717515</v>
      </c>
      <c r="M3436" t="s">
        <v>2482</v>
      </c>
    </row>
    <row r="3437" spans="12:13">
      <c r="L3437" s="66">
        <v>717516</v>
      </c>
      <c r="M3437" t="s">
        <v>2483</v>
      </c>
    </row>
    <row r="3438" spans="12:13">
      <c r="L3438" s="66">
        <v>717600</v>
      </c>
      <c r="M3438" t="s">
        <v>2484</v>
      </c>
    </row>
    <row r="3439" spans="12:13">
      <c r="L3439" s="66">
        <v>717610</v>
      </c>
      <c r="M3439" t="s">
        <v>2484</v>
      </c>
    </row>
    <row r="3440" spans="12:13">
      <c r="L3440" s="66">
        <v>717611</v>
      </c>
      <c r="M3440" t="s">
        <v>2485</v>
      </c>
    </row>
    <row r="3441" spans="12:13">
      <c r="L3441" s="66">
        <v>717612</v>
      </c>
      <c r="M3441" t="s">
        <v>2486</v>
      </c>
    </row>
    <row r="3442" spans="12:13">
      <c r="L3442" s="66">
        <v>719000</v>
      </c>
      <c r="M3442" t="s">
        <v>2487</v>
      </c>
    </row>
    <row r="3443" spans="12:13">
      <c r="L3443" s="66">
        <v>719100</v>
      </c>
      <c r="M3443" t="s">
        <v>2488</v>
      </c>
    </row>
    <row r="3444" spans="12:13">
      <c r="L3444" s="66">
        <v>719110</v>
      </c>
      <c r="M3444" t="s">
        <v>2489</v>
      </c>
    </row>
    <row r="3445" spans="12:13">
      <c r="L3445" s="66">
        <v>719111</v>
      </c>
      <c r="M3445" t="s">
        <v>2490</v>
      </c>
    </row>
    <row r="3446" spans="12:13">
      <c r="L3446" s="66">
        <v>719200</v>
      </c>
      <c r="M3446" t="s">
        <v>2491</v>
      </c>
    </row>
    <row r="3447" spans="12:13">
      <c r="L3447" s="66">
        <v>719210</v>
      </c>
      <c r="M3447" t="s">
        <v>2492</v>
      </c>
    </row>
    <row r="3448" spans="12:13">
      <c r="L3448" s="66">
        <v>719211</v>
      </c>
      <c r="M3448" t="s">
        <v>2493</v>
      </c>
    </row>
    <row r="3449" spans="12:13">
      <c r="L3449" s="66">
        <v>719220</v>
      </c>
      <c r="M3449" t="s">
        <v>2494</v>
      </c>
    </row>
    <row r="3450" spans="12:13">
      <c r="L3450" s="66">
        <v>719221</v>
      </c>
      <c r="M3450" t="s">
        <v>2495</v>
      </c>
    </row>
    <row r="3451" spans="12:13">
      <c r="L3451" s="66">
        <v>719230</v>
      </c>
      <c r="M3451" t="s">
        <v>2496</v>
      </c>
    </row>
    <row r="3452" spans="12:13">
      <c r="L3452" s="66">
        <v>719231</v>
      </c>
      <c r="M3452" t="s">
        <v>2497</v>
      </c>
    </row>
    <row r="3453" spans="12:13">
      <c r="L3453" s="66">
        <v>719240</v>
      </c>
      <c r="M3453" t="s">
        <v>2498</v>
      </c>
    </row>
    <row r="3454" spans="12:13">
      <c r="L3454" s="66">
        <v>719241</v>
      </c>
      <c r="M3454" t="s">
        <v>2499</v>
      </c>
    </row>
    <row r="3455" spans="12:13">
      <c r="L3455" s="66">
        <v>719250</v>
      </c>
      <c r="M3455" t="s">
        <v>2500</v>
      </c>
    </row>
    <row r="3456" spans="12:13">
      <c r="L3456" s="66">
        <v>719251</v>
      </c>
      <c r="M3456" t="s">
        <v>2501</v>
      </c>
    </row>
    <row r="3457" spans="12:13">
      <c r="L3457" s="66">
        <v>719260</v>
      </c>
      <c r="M3457" t="s">
        <v>2502</v>
      </c>
    </row>
    <row r="3458" spans="12:13">
      <c r="L3458" s="66">
        <v>719261</v>
      </c>
      <c r="M3458" t="s">
        <v>2503</v>
      </c>
    </row>
    <row r="3459" spans="12:13">
      <c r="L3459" s="66">
        <v>719262</v>
      </c>
      <c r="M3459" t="s">
        <v>2504</v>
      </c>
    </row>
    <row r="3460" spans="12:13">
      <c r="L3460" s="66">
        <v>719263</v>
      </c>
      <c r="M3460" t="s">
        <v>2505</v>
      </c>
    </row>
    <row r="3461" spans="12:13">
      <c r="L3461" s="66">
        <v>719264</v>
      </c>
      <c r="M3461" t="s">
        <v>2506</v>
      </c>
    </row>
    <row r="3462" spans="12:13">
      <c r="L3462" s="66">
        <v>719265</v>
      </c>
      <c r="M3462" t="s">
        <v>2507</v>
      </c>
    </row>
    <row r="3463" spans="12:13">
      <c r="L3463" s="66">
        <v>719300</v>
      </c>
      <c r="M3463" t="s">
        <v>2508</v>
      </c>
    </row>
    <row r="3464" spans="12:13">
      <c r="L3464" s="66">
        <v>719310</v>
      </c>
      <c r="M3464" t="s">
        <v>2509</v>
      </c>
    </row>
    <row r="3465" spans="12:13">
      <c r="L3465" s="66">
        <v>719311</v>
      </c>
      <c r="M3465" t="s">
        <v>2510</v>
      </c>
    </row>
    <row r="3466" spans="12:13">
      <c r="L3466" s="66">
        <v>719320</v>
      </c>
      <c r="M3466" t="s">
        <v>2511</v>
      </c>
    </row>
    <row r="3467" spans="12:13">
      <c r="L3467" s="66">
        <v>719321</v>
      </c>
      <c r="M3467" t="s">
        <v>2512</v>
      </c>
    </row>
    <row r="3468" spans="12:13">
      <c r="L3468" s="66">
        <v>719330</v>
      </c>
      <c r="M3468" t="s">
        <v>2513</v>
      </c>
    </row>
    <row r="3469" spans="12:13">
      <c r="L3469" s="66">
        <v>719331</v>
      </c>
      <c r="M3469" t="s">
        <v>2514</v>
      </c>
    </row>
    <row r="3470" spans="12:13">
      <c r="L3470" s="66">
        <v>719400</v>
      </c>
      <c r="M3470" t="s">
        <v>2515</v>
      </c>
    </row>
    <row r="3471" spans="12:13">
      <c r="L3471" s="66">
        <v>719410</v>
      </c>
      <c r="M3471" t="s">
        <v>2516</v>
      </c>
    </row>
    <row r="3472" spans="12:13">
      <c r="L3472" s="66">
        <v>719411</v>
      </c>
      <c r="M3472" t="s">
        <v>2517</v>
      </c>
    </row>
    <row r="3473" spans="12:13">
      <c r="L3473" s="66">
        <v>719412</v>
      </c>
      <c r="M3473" t="s">
        <v>2518</v>
      </c>
    </row>
    <row r="3474" spans="12:13">
      <c r="L3474" s="66">
        <v>719413</v>
      </c>
      <c r="M3474" t="s">
        <v>2519</v>
      </c>
    </row>
    <row r="3475" spans="12:13">
      <c r="L3475" s="66">
        <v>719414</v>
      </c>
      <c r="M3475" t="s">
        <v>2520</v>
      </c>
    </row>
    <row r="3476" spans="12:13">
      <c r="L3476" s="66">
        <v>719415</v>
      </c>
      <c r="M3476" t="s">
        <v>2521</v>
      </c>
    </row>
    <row r="3477" spans="12:13">
      <c r="L3477" s="66">
        <v>719500</v>
      </c>
      <c r="M3477" t="s">
        <v>2522</v>
      </c>
    </row>
    <row r="3478" spans="12:13">
      <c r="L3478" s="66">
        <v>719510</v>
      </c>
      <c r="M3478" t="s">
        <v>2523</v>
      </c>
    </row>
    <row r="3479" spans="12:13">
      <c r="L3479" s="66">
        <v>719511</v>
      </c>
      <c r="M3479" t="s">
        <v>2524</v>
      </c>
    </row>
    <row r="3480" spans="12:13">
      <c r="L3480" s="66">
        <v>719600</v>
      </c>
      <c r="M3480" t="s">
        <v>2525</v>
      </c>
    </row>
    <row r="3481" spans="12:13">
      <c r="L3481" s="66">
        <v>719610</v>
      </c>
      <c r="M3481" t="s">
        <v>2526</v>
      </c>
    </row>
    <row r="3482" spans="12:13">
      <c r="L3482" s="66">
        <v>719611</v>
      </c>
      <c r="M3482" t="s">
        <v>2527</v>
      </c>
    </row>
    <row r="3483" spans="12:13">
      <c r="L3483" s="66">
        <v>720000</v>
      </c>
      <c r="M3483" t="s">
        <v>2528</v>
      </c>
    </row>
    <row r="3484" spans="12:13">
      <c r="L3484" s="66">
        <v>721000</v>
      </c>
      <c r="M3484" t="s">
        <v>2529</v>
      </c>
    </row>
    <row r="3485" spans="12:13">
      <c r="L3485" s="66">
        <v>721100</v>
      </c>
      <c r="M3485" t="s">
        <v>2530</v>
      </c>
    </row>
    <row r="3486" spans="12:13">
      <c r="L3486" s="66">
        <v>721110</v>
      </c>
      <c r="M3486" t="s">
        <v>2531</v>
      </c>
    </row>
    <row r="3487" spans="12:13">
      <c r="L3487" s="66">
        <v>721111</v>
      </c>
      <c r="M3487" t="s">
        <v>2532</v>
      </c>
    </row>
    <row r="3488" spans="12:13">
      <c r="L3488" s="66">
        <v>721112</v>
      </c>
      <c r="M3488" t="s">
        <v>2533</v>
      </c>
    </row>
    <row r="3489" spans="12:13">
      <c r="L3489" s="66">
        <v>721113</v>
      </c>
      <c r="M3489" t="s">
        <v>2534</v>
      </c>
    </row>
    <row r="3490" spans="12:13">
      <c r="L3490" s="66">
        <v>721114</v>
      </c>
      <c r="M3490" t="s">
        <v>2535</v>
      </c>
    </row>
    <row r="3491" spans="12:13">
      <c r="L3491" s="66">
        <v>721115</v>
      </c>
      <c r="M3491" t="s">
        <v>2536</v>
      </c>
    </row>
    <row r="3492" spans="12:13">
      <c r="L3492" s="66">
        <v>721116</v>
      </c>
      <c r="M3492" t="s">
        <v>2537</v>
      </c>
    </row>
    <row r="3493" spans="12:13">
      <c r="L3493" s="66">
        <v>721117</v>
      </c>
      <c r="M3493" t="s">
        <v>2538</v>
      </c>
    </row>
    <row r="3494" spans="12:13">
      <c r="L3494" s="66">
        <v>721118</v>
      </c>
      <c r="M3494" t="s">
        <v>2539</v>
      </c>
    </row>
    <row r="3495" spans="12:13">
      <c r="L3495" s="66">
        <v>721119</v>
      </c>
      <c r="M3495" t="s">
        <v>2540</v>
      </c>
    </row>
    <row r="3496" spans="12:13">
      <c r="L3496" s="66">
        <v>721120</v>
      </c>
      <c r="M3496" t="s">
        <v>2541</v>
      </c>
    </row>
    <row r="3497" spans="12:13">
      <c r="L3497" s="66">
        <v>721121</v>
      </c>
      <c r="M3497" t="s">
        <v>2542</v>
      </c>
    </row>
    <row r="3498" spans="12:13">
      <c r="L3498" s="66">
        <v>721122</v>
      </c>
      <c r="M3498" t="s">
        <v>2543</v>
      </c>
    </row>
    <row r="3499" spans="12:13">
      <c r="L3499" s="66">
        <v>721130</v>
      </c>
      <c r="M3499" t="s">
        <v>2544</v>
      </c>
    </row>
    <row r="3500" spans="12:13">
      <c r="L3500" s="66">
        <v>721131</v>
      </c>
      <c r="M3500" t="s">
        <v>2545</v>
      </c>
    </row>
    <row r="3501" spans="12:13">
      <c r="L3501" s="66">
        <v>721200</v>
      </c>
      <c r="M3501" t="s">
        <v>2546</v>
      </c>
    </row>
    <row r="3502" spans="12:13">
      <c r="L3502" s="66">
        <v>721210</v>
      </c>
      <c r="M3502" t="s">
        <v>2531</v>
      </c>
    </row>
    <row r="3503" spans="12:13">
      <c r="L3503" s="66">
        <v>721211</v>
      </c>
      <c r="M3503" t="s">
        <v>2547</v>
      </c>
    </row>
    <row r="3504" spans="12:13">
      <c r="L3504" s="66">
        <v>721212</v>
      </c>
      <c r="M3504" t="s">
        <v>2548</v>
      </c>
    </row>
    <row r="3505" spans="12:13">
      <c r="L3505" s="66">
        <v>721213</v>
      </c>
      <c r="M3505" t="s">
        <v>2549</v>
      </c>
    </row>
    <row r="3506" spans="12:13">
      <c r="L3506" s="66">
        <v>721214</v>
      </c>
      <c r="M3506" t="s">
        <v>2550</v>
      </c>
    </row>
    <row r="3507" spans="12:13">
      <c r="L3507" s="66">
        <v>721215</v>
      </c>
      <c r="M3507" t="s">
        <v>2551</v>
      </c>
    </row>
    <row r="3508" spans="12:13">
      <c r="L3508" s="66">
        <v>721216</v>
      </c>
      <c r="M3508" t="s">
        <v>2552</v>
      </c>
    </row>
    <row r="3509" spans="12:13">
      <c r="L3509" s="66">
        <v>721217</v>
      </c>
      <c r="M3509" t="s">
        <v>2553</v>
      </c>
    </row>
    <row r="3510" spans="12:13">
      <c r="L3510" s="66">
        <v>721218</v>
      </c>
      <c r="M3510" t="s">
        <v>2554</v>
      </c>
    </row>
    <row r="3511" spans="12:13">
      <c r="L3511" s="66">
        <v>721219</v>
      </c>
      <c r="M3511" t="s">
        <v>2555</v>
      </c>
    </row>
    <row r="3512" spans="12:13">
      <c r="L3512" s="66">
        <v>721220</v>
      </c>
      <c r="M3512" t="s">
        <v>2541</v>
      </c>
    </row>
    <row r="3513" spans="12:13">
      <c r="L3513" s="66">
        <v>721221</v>
      </c>
      <c r="M3513" t="s">
        <v>2556</v>
      </c>
    </row>
    <row r="3514" spans="12:13">
      <c r="L3514" s="66">
        <v>721222</v>
      </c>
      <c r="M3514" t="s">
        <v>2557</v>
      </c>
    </row>
    <row r="3515" spans="12:13">
      <c r="L3515" s="66">
        <v>721223</v>
      </c>
      <c r="M3515" t="s">
        <v>2558</v>
      </c>
    </row>
    <row r="3516" spans="12:13">
      <c r="L3516" s="66">
        <v>721224</v>
      </c>
      <c r="M3516" t="s">
        <v>2559</v>
      </c>
    </row>
    <row r="3517" spans="12:13">
      <c r="L3517" s="66">
        <v>721225</v>
      </c>
      <c r="M3517" t="s">
        <v>2560</v>
      </c>
    </row>
    <row r="3518" spans="12:13">
      <c r="L3518" s="66">
        <v>721226</v>
      </c>
      <c r="M3518" t="s">
        <v>2561</v>
      </c>
    </row>
    <row r="3519" spans="12:13">
      <c r="L3519" s="66">
        <v>721230</v>
      </c>
      <c r="M3519" t="s">
        <v>2544</v>
      </c>
    </row>
    <row r="3520" spans="12:13">
      <c r="L3520" s="66">
        <v>721231</v>
      </c>
      <c r="M3520" t="s">
        <v>2562</v>
      </c>
    </row>
    <row r="3521" spans="12:13">
      <c r="L3521" s="66">
        <v>721232</v>
      </c>
      <c r="M3521" t="s">
        <v>2563</v>
      </c>
    </row>
    <row r="3522" spans="12:13">
      <c r="L3522" s="66">
        <v>721233</v>
      </c>
      <c r="M3522" t="s">
        <v>2564</v>
      </c>
    </row>
    <row r="3523" spans="12:13">
      <c r="L3523" s="66">
        <v>721300</v>
      </c>
      <c r="M3523" t="s">
        <v>2565</v>
      </c>
    </row>
    <row r="3524" spans="12:13">
      <c r="L3524" s="66">
        <v>721310</v>
      </c>
      <c r="M3524" t="s">
        <v>2531</v>
      </c>
    </row>
    <row r="3525" spans="12:13">
      <c r="L3525" s="66">
        <v>721311</v>
      </c>
      <c r="M3525" t="s">
        <v>2566</v>
      </c>
    </row>
    <row r="3526" spans="12:13">
      <c r="L3526" s="66">
        <v>721312</v>
      </c>
      <c r="M3526" t="s">
        <v>2567</v>
      </c>
    </row>
    <row r="3527" spans="12:13">
      <c r="L3527" s="66">
        <v>721313</v>
      </c>
      <c r="M3527" t="s">
        <v>2568</v>
      </c>
    </row>
    <row r="3528" spans="12:13">
      <c r="L3528" s="66">
        <v>721314</v>
      </c>
      <c r="M3528" t="s">
        <v>2569</v>
      </c>
    </row>
    <row r="3529" spans="12:13">
      <c r="L3529" s="66">
        <v>721315</v>
      </c>
      <c r="M3529" t="s">
        <v>2570</v>
      </c>
    </row>
    <row r="3530" spans="12:13">
      <c r="L3530" s="66">
        <v>721316</v>
      </c>
      <c r="M3530" t="s">
        <v>2571</v>
      </c>
    </row>
    <row r="3531" spans="12:13">
      <c r="L3531" s="66">
        <v>721317</v>
      </c>
      <c r="M3531" t="s">
        <v>2572</v>
      </c>
    </row>
    <row r="3532" spans="12:13">
      <c r="L3532" s="66">
        <v>721318</v>
      </c>
      <c r="M3532" t="s">
        <v>2573</v>
      </c>
    </row>
    <row r="3533" spans="12:13">
      <c r="L3533" s="66">
        <v>721319</v>
      </c>
      <c r="M3533" t="s">
        <v>2574</v>
      </c>
    </row>
    <row r="3534" spans="12:13">
      <c r="L3534" s="66">
        <v>721320</v>
      </c>
      <c r="M3534" t="s">
        <v>2541</v>
      </c>
    </row>
    <row r="3535" spans="12:13">
      <c r="L3535" s="66">
        <v>721321</v>
      </c>
      <c r="M3535" t="s">
        <v>2575</v>
      </c>
    </row>
    <row r="3536" spans="12:13">
      <c r="L3536" s="66">
        <v>721322</v>
      </c>
      <c r="M3536" t="s">
        <v>2576</v>
      </c>
    </row>
    <row r="3537" spans="12:13">
      <c r="L3537" s="66">
        <v>721323</v>
      </c>
      <c r="M3537" t="s">
        <v>2577</v>
      </c>
    </row>
    <row r="3538" spans="12:13">
      <c r="L3538" s="66">
        <v>721324</v>
      </c>
      <c r="M3538" t="s">
        <v>2578</v>
      </c>
    </row>
    <row r="3539" spans="12:13">
      <c r="L3539" s="66">
        <v>721325</v>
      </c>
      <c r="M3539" t="s">
        <v>2579</v>
      </c>
    </row>
    <row r="3540" spans="12:13">
      <c r="L3540" s="66">
        <v>721330</v>
      </c>
      <c r="M3540" t="s">
        <v>2544</v>
      </c>
    </row>
    <row r="3541" spans="12:13">
      <c r="L3541" s="66">
        <v>721331</v>
      </c>
      <c r="M3541" t="s">
        <v>2580</v>
      </c>
    </row>
    <row r="3542" spans="12:13">
      <c r="L3542" s="66">
        <v>721332</v>
      </c>
      <c r="M3542" t="s">
        <v>2581</v>
      </c>
    </row>
    <row r="3543" spans="12:13">
      <c r="L3543" s="66">
        <v>721400</v>
      </c>
      <c r="M3543" t="s">
        <v>2582</v>
      </c>
    </row>
    <row r="3544" spans="12:13">
      <c r="L3544" s="66">
        <v>721410</v>
      </c>
      <c r="M3544" t="s">
        <v>2531</v>
      </c>
    </row>
    <row r="3545" spans="12:13">
      <c r="L3545" s="66">
        <v>721411</v>
      </c>
      <c r="M3545" t="s">
        <v>2583</v>
      </c>
    </row>
    <row r="3546" spans="12:13">
      <c r="L3546" s="66">
        <v>721412</v>
      </c>
      <c r="M3546" t="s">
        <v>2584</v>
      </c>
    </row>
    <row r="3547" spans="12:13">
      <c r="L3547" s="66">
        <v>721413</v>
      </c>
      <c r="M3547" t="s">
        <v>2585</v>
      </c>
    </row>
    <row r="3548" spans="12:13">
      <c r="L3548" s="66">
        <v>721414</v>
      </c>
      <c r="M3548" t="s">
        <v>2586</v>
      </c>
    </row>
    <row r="3549" spans="12:13">
      <c r="L3549" s="66">
        <v>721415</v>
      </c>
      <c r="M3549" t="s">
        <v>2587</v>
      </c>
    </row>
    <row r="3550" spans="12:13">
      <c r="L3550" s="66">
        <v>721416</v>
      </c>
      <c r="M3550" t="s">
        <v>2588</v>
      </c>
    </row>
    <row r="3551" spans="12:13">
      <c r="L3551" s="66">
        <v>721417</v>
      </c>
      <c r="M3551" t="s">
        <v>2589</v>
      </c>
    </row>
    <row r="3552" spans="12:13">
      <c r="L3552" s="66">
        <v>721418</v>
      </c>
      <c r="M3552" t="s">
        <v>2590</v>
      </c>
    </row>
    <row r="3553" spans="12:13">
      <c r="L3553" s="66">
        <v>721419</v>
      </c>
      <c r="M3553" t="s">
        <v>2591</v>
      </c>
    </row>
    <row r="3554" spans="12:13">
      <c r="L3554" s="66">
        <v>721420</v>
      </c>
      <c r="M3554" t="s">
        <v>2592</v>
      </c>
    </row>
    <row r="3555" spans="12:13">
      <c r="L3555" s="66">
        <v>721421</v>
      </c>
      <c r="M3555" t="s">
        <v>2592</v>
      </c>
    </row>
    <row r="3556" spans="12:13">
      <c r="L3556" s="66">
        <v>721430</v>
      </c>
      <c r="M3556" t="s">
        <v>2593</v>
      </c>
    </row>
    <row r="3557" spans="12:13">
      <c r="L3557" s="66">
        <v>721431</v>
      </c>
      <c r="M3557" t="s">
        <v>2593</v>
      </c>
    </row>
    <row r="3558" spans="12:13">
      <c r="L3558" s="66">
        <v>721432</v>
      </c>
      <c r="M3558" t="s">
        <v>2594</v>
      </c>
    </row>
    <row r="3559" spans="12:13">
      <c r="L3559" s="66">
        <v>722000</v>
      </c>
      <c r="M3559" t="s">
        <v>2595</v>
      </c>
    </row>
    <row r="3560" spans="12:13">
      <c r="L3560" s="66">
        <v>722100</v>
      </c>
      <c r="M3560" t="s">
        <v>2596</v>
      </c>
    </row>
    <row r="3561" spans="12:13">
      <c r="L3561" s="66">
        <v>722110</v>
      </c>
      <c r="M3561" t="s">
        <v>2596</v>
      </c>
    </row>
    <row r="3562" spans="12:13">
      <c r="L3562" s="66">
        <v>722111</v>
      </c>
      <c r="M3562" t="s">
        <v>2596</v>
      </c>
    </row>
    <row r="3563" spans="12:13">
      <c r="L3563" s="66">
        <v>722200</v>
      </c>
      <c r="M3563" t="s">
        <v>2597</v>
      </c>
    </row>
    <row r="3564" spans="12:13">
      <c r="L3564" s="66">
        <v>722210</v>
      </c>
      <c r="M3564" t="s">
        <v>2597</v>
      </c>
    </row>
    <row r="3565" spans="12:13">
      <c r="L3565" s="66">
        <v>722211</v>
      </c>
      <c r="M3565" t="s">
        <v>2597</v>
      </c>
    </row>
    <row r="3566" spans="12:13">
      <c r="L3566" s="66">
        <v>722300</v>
      </c>
      <c r="M3566" t="s">
        <v>2598</v>
      </c>
    </row>
    <row r="3567" spans="12:13">
      <c r="L3567" s="66">
        <v>722310</v>
      </c>
      <c r="M3567" t="s">
        <v>2598</v>
      </c>
    </row>
    <row r="3568" spans="12:13">
      <c r="L3568" s="66">
        <v>722311</v>
      </c>
      <c r="M3568" t="s">
        <v>2598</v>
      </c>
    </row>
    <row r="3569" spans="12:13">
      <c r="L3569" s="66">
        <v>730000</v>
      </c>
      <c r="M3569" t="s">
        <v>2600</v>
      </c>
    </row>
    <row r="3570" spans="12:13">
      <c r="L3570" s="66">
        <v>731000</v>
      </c>
      <c r="M3570" t="s">
        <v>2601</v>
      </c>
    </row>
    <row r="3571" spans="12:13">
      <c r="L3571" s="66">
        <v>731100</v>
      </c>
      <c r="M3571" t="s">
        <v>2602</v>
      </c>
    </row>
    <row r="3572" spans="12:13">
      <c r="L3572" s="66">
        <v>731120</v>
      </c>
      <c r="M3572" t="s">
        <v>2603</v>
      </c>
    </row>
    <row r="3573" spans="12:13">
      <c r="L3573" s="66">
        <v>731121</v>
      </c>
      <c r="M3573" t="s">
        <v>2603</v>
      </c>
    </row>
    <row r="3574" spans="12:13">
      <c r="L3574" s="66">
        <v>731130</v>
      </c>
      <c r="M3574" t="s">
        <v>2604</v>
      </c>
    </row>
    <row r="3575" spans="12:13">
      <c r="L3575" s="66">
        <v>731131</v>
      </c>
      <c r="M3575" t="s">
        <v>2605</v>
      </c>
    </row>
    <row r="3576" spans="12:13">
      <c r="L3576" s="66">
        <v>731132</v>
      </c>
      <c r="M3576" t="s">
        <v>2606</v>
      </c>
    </row>
    <row r="3577" spans="12:13">
      <c r="L3577" s="66">
        <v>731140</v>
      </c>
      <c r="M3577" t="s">
        <v>2607</v>
      </c>
    </row>
    <row r="3578" spans="12:13">
      <c r="L3578" s="66">
        <v>731141</v>
      </c>
      <c r="M3578" t="s">
        <v>2607</v>
      </c>
    </row>
    <row r="3579" spans="12:13">
      <c r="L3579" s="66">
        <v>731150</v>
      </c>
      <c r="M3579" t="s">
        <v>2608</v>
      </c>
    </row>
    <row r="3580" spans="12:13">
      <c r="L3580" s="66">
        <v>731151</v>
      </c>
      <c r="M3580" t="s">
        <v>2608</v>
      </c>
    </row>
    <row r="3581" spans="12:13">
      <c r="L3581" s="66">
        <v>731160</v>
      </c>
      <c r="M3581" t="s">
        <v>2609</v>
      </c>
    </row>
    <row r="3582" spans="12:13">
      <c r="L3582" s="66">
        <v>731161</v>
      </c>
      <c r="M3582" t="s">
        <v>2610</v>
      </c>
    </row>
    <row r="3583" spans="12:13">
      <c r="L3583" s="66">
        <v>731162</v>
      </c>
      <c r="M3583" t="s">
        <v>2611</v>
      </c>
    </row>
    <row r="3584" spans="12:13">
      <c r="L3584" s="66">
        <v>731165</v>
      </c>
      <c r="M3584" t="s">
        <v>2612</v>
      </c>
    </row>
    <row r="3585" spans="12:13">
      <c r="L3585" s="66">
        <v>731200</v>
      </c>
      <c r="M3585" t="s">
        <v>2613</v>
      </c>
    </row>
    <row r="3586" spans="12:13">
      <c r="L3586" s="66">
        <v>731220</v>
      </c>
      <c r="M3586" t="s">
        <v>2614</v>
      </c>
    </row>
    <row r="3587" spans="12:13">
      <c r="L3587" s="66">
        <v>731221</v>
      </c>
      <c r="M3587" t="s">
        <v>2614</v>
      </c>
    </row>
    <row r="3588" spans="12:13">
      <c r="L3588" s="66">
        <v>731230</v>
      </c>
      <c r="M3588" t="s">
        <v>2615</v>
      </c>
    </row>
    <row r="3589" spans="12:13">
      <c r="L3589" s="66">
        <v>731231</v>
      </c>
      <c r="M3589" t="s">
        <v>2616</v>
      </c>
    </row>
    <row r="3590" spans="12:13">
      <c r="L3590" s="66">
        <v>731232</v>
      </c>
      <c r="M3590" t="s">
        <v>2617</v>
      </c>
    </row>
    <row r="3591" spans="12:13">
      <c r="L3591" s="66">
        <v>731240</v>
      </c>
      <c r="M3591" t="s">
        <v>2618</v>
      </c>
    </row>
    <row r="3592" spans="12:13">
      <c r="L3592" s="66">
        <v>731241</v>
      </c>
      <c r="M3592" t="s">
        <v>2618</v>
      </c>
    </row>
    <row r="3593" spans="12:13">
      <c r="L3593" s="66">
        <v>731250</v>
      </c>
      <c r="M3593" t="s">
        <v>2619</v>
      </c>
    </row>
    <row r="3594" spans="12:13">
      <c r="L3594" s="66">
        <v>731251</v>
      </c>
      <c r="M3594" t="s">
        <v>2619</v>
      </c>
    </row>
    <row r="3595" spans="12:13">
      <c r="L3595" s="66">
        <v>731260</v>
      </c>
      <c r="M3595" t="s">
        <v>2620</v>
      </c>
    </row>
    <row r="3596" spans="12:13">
      <c r="L3596" s="66">
        <v>731261</v>
      </c>
      <c r="M3596" t="s">
        <v>2621</v>
      </c>
    </row>
    <row r="3597" spans="12:13">
      <c r="L3597" s="66">
        <v>731262</v>
      </c>
      <c r="M3597" t="s">
        <v>2622</v>
      </c>
    </row>
    <row r="3598" spans="12:13">
      <c r="L3598" s="66">
        <v>731265</v>
      </c>
      <c r="M3598" t="s">
        <v>2623</v>
      </c>
    </row>
    <row r="3599" spans="12:13">
      <c r="L3599" s="66">
        <v>732000</v>
      </c>
      <c r="M3599" t="s">
        <v>2625</v>
      </c>
    </row>
    <row r="3600" spans="12:13">
      <c r="L3600" s="66">
        <v>732100</v>
      </c>
      <c r="M3600" t="s">
        <v>2626</v>
      </c>
    </row>
    <row r="3601" spans="12:13">
      <c r="L3601" s="66">
        <v>732120</v>
      </c>
      <c r="M3601" t="s">
        <v>2627</v>
      </c>
    </row>
    <row r="3602" spans="12:13">
      <c r="L3602" s="66">
        <v>732121</v>
      </c>
      <c r="M3602" t="s">
        <v>2627</v>
      </c>
    </row>
    <row r="3603" spans="12:13">
      <c r="L3603" s="66">
        <v>732130</v>
      </c>
      <c r="M3603" t="s">
        <v>2628</v>
      </c>
    </row>
    <row r="3604" spans="12:13">
      <c r="L3604" s="66">
        <v>732131</v>
      </c>
      <c r="M3604" t="s">
        <v>2629</v>
      </c>
    </row>
    <row r="3605" spans="12:13">
      <c r="L3605" s="66">
        <v>732132</v>
      </c>
      <c r="M3605" t="s">
        <v>2630</v>
      </c>
    </row>
    <row r="3606" spans="12:13">
      <c r="L3606" s="66">
        <v>732140</v>
      </c>
      <c r="M3606" t="s">
        <v>2631</v>
      </c>
    </row>
    <row r="3607" spans="12:13">
      <c r="L3607" s="66">
        <v>732141</v>
      </c>
      <c r="M3607" t="s">
        <v>2631</v>
      </c>
    </row>
    <row r="3608" spans="12:13">
      <c r="L3608" s="66">
        <v>732150</v>
      </c>
      <c r="M3608" t="s">
        <v>2632</v>
      </c>
    </row>
    <row r="3609" spans="12:13">
      <c r="L3609" s="66">
        <v>732151</v>
      </c>
      <c r="M3609" t="s">
        <v>2632</v>
      </c>
    </row>
    <row r="3610" spans="12:13">
      <c r="L3610" s="66">
        <v>732160</v>
      </c>
      <c r="M3610" t="s">
        <v>2633</v>
      </c>
    </row>
    <row r="3611" spans="12:13">
      <c r="L3611" s="66">
        <v>732161</v>
      </c>
      <c r="M3611" t="s">
        <v>2634</v>
      </c>
    </row>
    <row r="3612" spans="12:13">
      <c r="L3612" s="66">
        <v>732162</v>
      </c>
      <c r="M3612" t="s">
        <v>2635</v>
      </c>
    </row>
    <row r="3613" spans="12:13">
      <c r="L3613" s="66">
        <v>732165</v>
      </c>
      <c r="M3613" t="s">
        <v>2636</v>
      </c>
    </row>
    <row r="3614" spans="12:13">
      <c r="L3614" s="66">
        <v>732200</v>
      </c>
      <c r="M3614" t="s">
        <v>2637</v>
      </c>
    </row>
    <row r="3615" spans="12:13">
      <c r="L3615" s="66">
        <v>732220</v>
      </c>
      <c r="M3615" t="s">
        <v>2638</v>
      </c>
    </row>
    <row r="3616" spans="12:13">
      <c r="L3616" s="66">
        <v>732221</v>
      </c>
      <c r="M3616" t="s">
        <v>2638</v>
      </c>
    </row>
    <row r="3617" spans="12:13">
      <c r="L3617" s="66">
        <v>732230</v>
      </c>
      <c r="M3617" t="s">
        <v>2639</v>
      </c>
    </row>
    <row r="3618" spans="12:13">
      <c r="L3618" s="66">
        <v>732231</v>
      </c>
      <c r="M3618" t="s">
        <v>2640</v>
      </c>
    </row>
    <row r="3619" spans="12:13">
      <c r="L3619" s="66">
        <v>732232</v>
      </c>
      <c r="M3619" t="s">
        <v>2641</v>
      </c>
    </row>
    <row r="3620" spans="12:13">
      <c r="L3620" s="66">
        <v>732240</v>
      </c>
      <c r="M3620" t="s">
        <v>2642</v>
      </c>
    </row>
    <row r="3621" spans="12:13">
      <c r="L3621" s="66">
        <v>732241</v>
      </c>
      <c r="M3621" t="s">
        <v>2642</v>
      </c>
    </row>
    <row r="3622" spans="12:13">
      <c r="L3622" s="66">
        <v>732250</v>
      </c>
      <c r="M3622" t="s">
        <v>2643</v>
      </c>
    </row>
    <row r="3623" spans="12:13">
      <c r="L3623" s="66">
        <v>732251</v>
      </c>
      <c r="M3623" t="s">
        <v>2643</v>
      </c>
    </row>
    <row r="3624" spans="12:13">
      <c r="L3624" s="66">
        <v>732260</v>
      </c>
      <c r="M3624" t="s">
        <v>2644</v>
      </c>
    </row>
    <row r="3625" spans="12:13">
      <c r="L3625" s="66">
        <v>732261</v>
      </c>
      <c r="M3625" t="s">
        <v>2645</v>
      </c>
    </row>
    <row r="3626" spans="12:13">
      <c r="L3626" s="66">
        <v>732262</v>
      </c>
      <c r="M3626" t="s">
        <v>2646</v>
      </c>
    </row>
    <row r="3627" spans="12:13">
      <c r="L3627" s="66">
        <v>732265</v>
      </c>
      <c r="M3627" t="s">
        <v>2647</v>
      </c>
    </row>
    <row r="3628" spans="12:13">
      <c r="L3628" s="66">
        <v>733000</v>
      </c>
      <c r="M3628" t="s">
        <v>2649</v>
      </c>
    </row>
    <row r="3629" spans="12:13">
      <c r="L3629" s="66">
        <v>733100</v>
      </c>
      <c r="M3629" t="s">
        <v>2650</v>
      </c>
    </row>
    <row r="3630" spans="12:13">
      <c r="L3630" s="66">
        <v>733120</v>
      </c>
      <c r="M3630" t="s">
        <v>2651</v>
      </c>
    </row>
    <row r="3631" spans="12:13">
      <c r="L3631" s="66">
        <v>733121</v>
      </c>
      <c r="M3631" t="s">
        <v>2651</v>
      </c>
    </row>
    <row r="3632" spans="12:13">
      <c r="L3632" s="66">
        <v>733130</v>
      </c>
      <c r="M3632" t="s">
        <v>2652</v>
      </c>
    </row>
    <row r="3633" spans="12:13">
      <c r="L3633" s="66">
        <v>733131</v>
      </c>
      <c r="M3633" t="s">
        <v>2653</v>
      </c>
    </row>
    <row r="3634" spans="12:13">
      <c r="L3634" s="66">
        <v>733132</v>
      </c>
      <c r="M3634" t="s">
        <v>2654</v>
      </c>
    </row>
    <row r="3635" spans="12:13">
      <c r="L3635" s="66">
        <v>733133</v>
      </c>
      <c r="M3635" t="s">
        <v>2655</v>
      </c>
    </row>
    <row r="3636" spans="12:13">
      <c r="L3636" s="66">
        <v>733134</v>
      </c>
      <c r="M3636" t="s">
        <v>2656</v>
      </c>
    </row>
    <row r="3637" spans="12:13">
      <c r="L3637" s="66">
        <v>733135</v>
      </c>
      <c r="M3637" t="s">
        <v>2657</v>
      </c>
    </row>
    <row r="3638" spans="12:13">
      <c r="L3638" s="66">
        <v>733136</v>
      </c>
      <c r="M3638" t="s">
        <v>2658</v>
      </c>
    </row>
    <row r="3639" spans="12:13">
      <c r="L3639" s="66">
        <v>733140</v>
      </c>
      <c r="M3639" t="s">
        <v>2659</v>
      </c>
    </row>
    <row r="3640" spans="12:13">
      <c r="L3640" s="66">
        <v>733141</v>
      </c>
      <c r="M3640" t="s">
        <v>2660</v>
      </c>
    </row>
    <row r="3641" spans="12:13">
      <c r="L3641" s="66">
        <v>733142</v>
      </c>
      <c r="M3641" t="s">
        <v>2661</v>
      </c>
    </row>
    <row r="3642" spans="12:13">
      <c r="L3642" s="66">
        <v>733143</v>
      </c>
      <c r="M3642" t="s">
        <v>2662</v>
      </c>
    </row>
    <row r="3643" spans="12:13">
      <c r="L3643" s="66">
        <v>733144</v>
      </c>
      <c r="M3643" t="s">
        <v>2663</v>
      </c>
    </row>
    <row r="3644" spans="12:13">
      <c r="L3644" s="66">
        <v>733145</v>
      </c>
      <c r="M3644" t="s">
        <v>2664</v>
      </c>
    </row>
    <row r="3645" spans="12:13">
      <c r="L3645" s="66">
        <v>733146</v>
      </c>
      <c r="M3645" t="s">
        <v>2665</v>
      </c>
    </row>
    <row r="3646" spans="12:13">
      <c r="L3646" s="66">
        <v>733147</v>
      </c>
      <c r="M3646" t="s">
        <v>2666</v>
      </c>
    </row>
    <row r="3647" spans="12:13">
      <c r="L3647" s="66">
        <v>733148</v>
      </c>
      <c r="M3647" t="s">
        <v>2667</v>
      </c>
    </row>
    <row r="3648" spans="12:13">
      <c r="L3648" s="66">
        <v>733150</v>
      </c>
      <c r="M3648" t="s">
        <v>2668</v>
      </c>
    </row>
    <row r="3649" spans="12:13">
      <c r="L3649" s="66">
        <v>733151</v>
      </c>
      <c r="M3649" t="s">
        <v>2669</v>
      </c>
    </row>
    <row r="3650" spans="12:13">
      <c r="L3650" s="66">
        <v>733152</v>
      </c>
      <c r="M3650" t="s">
        <v>2670</v>
      </c>
    </row>
    <row r="3651" spans="12:13">
      <c r="L3651" s="66">
        <v>733153</v>
      </c>
      <c r="M3651" t="s">
        <v>2671</v>
      </c>
    </row>
    <row r="3652" spans="12:13">
      <c r="L3652" s="66">
        <v>733154</v>
      </c>
      <c r="M3652" t="s">
        <v>2672</v>
      </c>
    </row>
    <row r="3653" spans="12:13">
      <c r="L3653" s="66">
        <v>733155</v>
      </c>
      <c r="M3653" t="s">
        <v>2673</v>
      </c>
    </row>
    <row r="3654" spans="12:13">
      <c r="L3654" s="66">
        <v>733156</v>
      </c>
      <c r="M3654" t="s">
        <v>2674</v>
      </c>
    </row>
    <row r="3655" spans="12:13">
      <c r="L3655" s="66">
        <v>733157</v>
      </c>
      <c r="M3655" t="s">
        <v>2675</v>
      </c>
    </row>
    <row r="3656" spans="12:13">
      <c r="L3656" s="66">
        <v>733158</v>
      </c>
      <c r="M3656" t="s">
        <v>2667</v>
      </c>
    </row>
    <row r="3657" spans="12:13">
      <c r="L3657" s="66">
        <v>733160</v>
      </c>
      <c r="M3657" t="s">
        <v>2676</v>
      </c>
    </row>
    <row r="3658" spans="12:13">
      <c r="L3658" s="66">
        <v>733161</v>
      </c>
      <c r="M3658" t="s">
        <v>2677</v>
      </c>
    </row>
    <row r="3659" spans="12:13">
      <c r="L3659" s="66">
        <v>733162</v>
      </c>
      <c r="M3659" t="s">
        <v>2678</v>
      </c>
    </row>
    <row r="3660" spans="12:13">
      <c r="L3660" s="66">
        <v>733163</v>
      </c>
      <c r="M3660" t="s">
        <v>2679</v>
      </c>
    </row>
    <row r="3661" spans="12:13">
      <c r="L3661" s="66">
        <v>733164</v>
      </c>
      <c r="M3661" t="s">
        <v>2680</v>
      </c>
    </row>
    <row r="3662" spans="12:13">
      <c r="L3662" s="66">
        <v>733165</v>
      </c>
      <c r="M3662" t="s">
        <v>2681</v>
      </c>
    </row>
    <row r="3663" spans="12:13">
      <c r="L3663" s="66">
        <v>733166</v>
      </c>
      <c r="M3663" t="s">
        <v>2682</v>
      </c>
    </row>
    <row r="3664" spans="12:13">
      <c r="L3664" s="66">
        <v>733167</v>
      </c>
      <c r="M3664" t="s">
        <v>2683</v>
      </c>
    </row>
    <row r="3665" spans="12:13">
      <c r="L3665" s="66">
        <v>733168</v>
      </c>
      <c r="M3665" t="s">
        <v>2684</v>
      </c>
    </row>
    <row r="3666" spans="12:13">
      <c r="L3666" s="66">
        <v>733200</v>
      </c>
      <c r="M3666" t="s">
        <v>2685</v>
      </c>
    </row>
    <row r="3667" spans="12:13">
      <c r="L3667" s="66">
        <v>733220</v>
      </c>
      <c r="M3667" t="s">
        <v>2686</v>
      </c>
    </row>
    <row r="3668" spans="12:13">
      <c r="L3668" s="66">
        <v>733221</v>
      </c>
      <c r="M3668" t="s">
        <v>2686</v>
      </c>
    </row>
    <row r="3669" spans="12:13">
      <c r="L3669" s="66">
        <v>733230</v>
      </c>
      <c r="M3669" t="s">
        <v>2687</v>
      </c>
    </row>
    <row r="3670" spans="12:13">
      <c r="L3670" s="66">
        <v>733231</v>
      </c>
      <c r="M3670" t="s">
        <v>2688</v>
      </c>
    </row>
    <row r="3671" spans="12:13">
      <c r="L3671" s="66">
        <v>733232</v>
      </c>
      <c r="M3671" t="s">
        <v>2689</v>
      </c>
    </row>
    <row r="3672" spans="12:13">
      <c r="L3672" s="66">
        <v>733233</v>
      </c>
      <c r="M3672" t="s">
        <v>2690</v>
      </c>
    </row>
    <row r="3673" spans="12:13">
      <c r="L3673" s="66">
        <v>733234</v>
      </c>
      <c r="M3673" t="s">
        <v>2691</v>
      </c>
    </row>
    <row r="3674" spans="12:13">
      <c r="L3674" s="66">
        <v>733235</v>
      </c>
      <c r="M3674" t="s">
        <v>2692</v>
      </c>
    </row>
    <row r="3675" spans="12:13">
      <c r="L3675" s="66">
        <v>733236</v>
      </c>
      <c r="M3675" t="s">
        <v>2693</v>
      </c>
    </row>
    <row r="3676" spans="12:13">
      <c r="L3676" s="66">
        <v>733240</v>
      </c>
      <c r="M3676" t="s">
        <v>2694</v>
      </c>
    </row>
    <row r="3677" spans="12:13">
      <c r="L3677" s="66">
        <v>733241</v>
      </c>
      <c r="M3677" t="s">
        <v>2695</v>
      </c>
    </row>
    <row r="3678" spans="12:13">
      <c r="L3678" s="66">
        <v>733242</v>
      </c>
      <c r="M3678" t="s">
        <v>2696</v>
      </c>
    </row>
    <row r="3679" spans="12:13">
      <c r="L3679" s="66">
        <v>733243</v>
      </c>
      <c r="M3679" t="s">
        <v>2697</v>
      </c>
    </row>
    <row r="3680" spans="12:13">
      <c r="L3680" s="66">
        <v>733250</v>
      </c>
      <c r="M3680" t="s">
        <v>2698</v>
      </c>
    </row>
    <row r="3681" spans="12:13">
      <c r="L3681" s="66">
        <v>733251</v>
      </c>
      <c r="M3681" t="s">
        <v>2699</v>
      </c>
    </row>
    <row r="3682" spans="12:13">
      <c r="L3682" s="66">
        <v>733252</v>
      </c>
      <c r="M3682" t="s">
        <v>2700</v>
      </c>
    </row>
    <row r="3683" spans="12:13">
      <c r="L3683" s="66">
        <v>733253</v>
      </c>
      <c r="M3683" t="s">
        <v>2701</v>
      </c>
    </row>
    <row r="3684" spans="12:13">
      <c r="L3684" s="66">
        <v>733260</v>
      </c>
      <c r="M3684" t="s">
        <v>2702</v>
      </c>
    </row>
    <row r="3685" spans="12:13">
      <c r="L3685" s="66">
        <v>733261</v>
      </c>
      <c r="M3685" t="s">
        <v>2703</v>
      </c>
    </row>
    <row r="3686" spans="12:13">
      <c r="L3686" s="66">
        <v>733262</v>
      </c>
      <c r="M3686" t="s">
        <v>2704</v>
      </c>
    </row>
    <row r="3687" spans="12:13">
      <c r="L3687" s="66">
        <v>733265</v>
      </c>
      <c r="M3687" t="s">
        <v>2705</v>
      </c>
    </row>
    <row r="3688" spans="12:13">
      <c r="L3688" s="66">
        <v>740000</v>
      </c>
      <c r="M3688" t="s">
        <v>2707</v>
      </c>
    </row>
    <row r="3689" spans="12:13">
      <c r="L3689" s="66">
        <v>741000</v>
      </c>
      <c r="M3689" t="s">
        <v>2709</v>
      </c>
    </row>
    <row r="3690" spans="12:13">
      <c r="L3690" s="66">
        <v>741100</v>
      </c>
      <c r="M3690" t="s">
        <v>2710</v>
      </c>
    </row>
    <row r="3691" spans="12:13">
      <c r="L3691" s="66">
        <v>741120</v>
      </c>
      <c r="M3691" t="s">
        <v>2711</v>
      </c>
    </row>
    <row r="3692" spans="12:13">
      <c r="L3692" s="66">
        <v>741121</v>
      </c>
      <c r="M3692" t="s">
        <v>2712</v>
      </c>
    </row>
    <row r="3693" spans="12:13">
      <c r="L3693" s="66">
        <v>741122</v>
      </c>
      <c r="M3693" t="s">
        <v>2713</v>
      </c>
    </row>
    <row r="3694" spans="12:13">
      <c r="L3694" s="66">
        <v>741130</v>
      </c>
      <c r="M3694" t="s">
        <v>2714</v>
      </c>
    </row>
    <row r="3695" spans="12:13">
      <c r="L3695" s="66">
        <v>741131</v>
      </c>
      <c r="M3695" t="s">
        <v>2715</v>
      </c>
    </row>
    <row r="3696" spans="12:13">
      <c r="L3696" s="66">
        <v>741132</v>
      </c>
      <c r="M3696" t="s">
        <v>2716</v>
      </c>
    </row>
    <row r="3697" spans="12:13">
      <c r="L3697" s="66">
        <v>741140</v>
      </c>
      <c r="M3697" t="s">
        <v>2717</v>
      </c>
    </row>
    <row r="3698" spans="12:13">
      <c r="L3698" s="66">
        <v>741141</v>
      </c>
      <c r="M3698" t="s">
        <v>2718</v>
      </c>
    </row>
    <row r="3699" spans="12:13">
      <c r="L3699" s="66">
        <v>741142</v>
      </c>
      <c r="M3699" t="s">
        <v>2719</v>
      </c>
    </row>
    <row r="3700" spans="12:13">
      <c r="L3700" s="66">
        <v>741150</v>
      </c>
      <c r="M3700" t="s">
        <v>2720</v>
      </c>
    </row>
    <row r="3701" spans="12:13">
      <c r="L3701" s="66">
        <v>741151</v>
      </c>
      <c r="M3701" t="s">
        <v>2721</v>
      </c>
    </row>
    <row r="3702" spans="12:13">
      <c r="L3702" s="66">
        <v>741152</v>
      </c>
      <c r="M3702" t="s">
        <v>2722</v>
      </c>
    </row>
    <row r="3703" spans="12:13">
      <c r="L3703" s="66">
        <v>741160</v>
      </c>
      <c r="M3703" t="s">
        <v>2723</v>
      </c>
    </row>
    <row r="3704" spans="12:13">
      <c r="L3704" s="66">
        <v>741161</v>
      </c>
      <c r="M3704" t="s">
        <v>2724</v>
      </c>
    </row>
    <row r="3705" spans="12:13">
      <c r="L3705" s="66">
        <v>741162</v>
      </c>
      <c r="M3705" t="s">
        <v>2725</v>
      </c>
    </row>
    <row r="3706" spans="12:13">
      <c r="L3706" s="66">
        <v>741165</v>
      </c>
      <c r="M3706" t="s">
        <v>2726</v>
      </c>
    </row>
    <row r="3707" spans="12:13">
      <c r="L3707" s="66">
        <v>741200</v>
      </c>
      <c r="M3707" t="s">
        <v>2727</v>
      </c>
    </row>
    <row r="3708" spans="12:13">
      <c r="L3708" s="66">
        <v>741210</v>
      </c>
      <c r="M3708" t="s">
        <v>2728</v>
      </c>
    </row>
    <row r="3709" spans="12:13">
      <c r="L3709" s="66">
        <v>741211</v>
      </c>
      <c r="M3709" t="s">
        <v>2729</v>
      </c>
    </row>
    <row r="3710" spans="12:13">
      <c r="L3710" s="66">
        <v>741212</v>
      </c>
      <c r="M3710" t="s">
        <v>2730</v>
      </c>
    </row>
    <row r="3711" spans="12:13">
      <c r="L3711" s="66">
        <v>741220</v>
      </c>
      <c r="M3711" t="s">
        <v>2731</v>
      </c>
    </row>
    <row r="3712" spans="12:13">
      <c r="L3712" s="66">
        <v>741221</v>
      </c>
      <c r="M3712" t="s">
        <v>2731</v>
      </c>
    </row>
    <row r="3713" spans="12:13">
      <c r="L3713" s="66">
        <v>741222</v>
      </c>
      <c r="M3713" t="s">
        <v>2732</v>
      </c>
    </row>
    <row r="3714" spans="12:13">
      <c r="L3714" s="66">
        <v>741223</v>
      </c>
      <c r="M3714" t="s">
        <v>2733</v>
      </c>
    </row>
    <row r="3715" spans="12:13">
      <c r="L3715" s="66">
        <v>741224</v>
      </c>
      <c r="M3715" t="s">
        <v>2734</v>
      </c>
    </row>
    <row r="3716" spans="12:13">
      <c r="L3716" s="66">
        <v>741230</v>
      </c>
      <c r="M3716" t="s">
        <v>2735</v>
      </c>
    </row>
    <row r="3717" spans="12:13">
      <c r="L3717" s="66">
        <v>741231</v>
      </c>
      <c r="M3717" t="s">
        <v>2736</v>
      </c>
    </row>
    <row r="3718" spans="12:13">
      <c r="L3718" s="66">
        <v>741232</v>
      </c>
      <c r="M3718" t="s">
        <v>2737</v>
      </c>
    </row>
    <row r="3719" spans="12:13">
      <c r="L3719" s="66">
        <v>741240</v>
      </c>
      <c r="M3719" t="s">
        <v>2738</v>
      </c>
    </row>
    <row r="3720" spans="12:13">
      <c r="L3720" s="66">
        <v>741241</v>
      </c>
      <c r="M3720" t="s">
        <v>2738</v>
      </c>
    </row>
    <row r="3721" spans="12:13">
      <c r="L3721" s="66">
        <v>741250</v>
      </c>
      <c r="M3721" t="s">
        <v>2739</v>
      </c>
    </row>
    <row r="3722" spans="12:13">
      <c r="L3722" s="66">
        <v>741251</v>
      </c>
      <c r="M3722" t="s">
        <v>2739</v>
      </c>
    </row>
    <row r="3723" spans="12:13">
      <c r="L3723" s="66">
        <v>741260</v>
      </c>
      <c r="M3723" t="s">
        <v>2740</v>
      </c>
    </row>
    <row r="3724" spans="12:13">
      <c r="L3724" s="66">
        <v>741261</v>
      </c>
      <c r="M3724" t="s">
        <v>2741</v>
      </c>
    </row>
    <row r="3725" spans="12:13">
      <c r="L3725" s="66">
        <v>741262</v>
      </c>
      <c r="M3725" t="s">
        <v>2742</v>
      </c>
    </row>
    <row r="3726" spans="12:13">
      <c r="L3726" s="66">
        <v>741265</v>
      </c>
      <c r="M3726" t="s">
        <v>2743</v>
      </c>
    </row>
    <row r="3727" spans="12:13">
      <c r="L3727" s="66">
        <v>741300</v>
      </c>
      <c r="M3727" t="s">
        <v>2744</v>
      </c>
    </row>
    <row r="3728" spans="12:13">
      <c r="L3728" s="66">
        <v>741310</v>
      </c>
      <c r="M3728" t="s">
        <v>2744</v>
      </c>
    </row>
    <row r="3729" spans="12:13">
      <c r="L3729" s="66">
        <v>741311</v>
      </c>
      <c r="M3729" t="s">
        <v>2744</v>
      </c>
    </row>
    <row r="3730" spans="12:13">
      <c r="L3730" s="66">
        <v>741400</v>
      </c>
      <c r="M3730" t="s">
        <v>2745</v>
      </c>
    </row>
    <row r="3731" spans="12:13">
      <c r="L3731" s="66">
        <v>741410</v>
      </c>
      <c r="M3731" t="s">
        <v>2745</v>
      </c>
    </row>
    <row r="3732" spans="12:13">
      <c r="L3732" s="66">
        <v>741411</v>
      </c>
      <c r="M3732" t="s">
        <v>2747</v>
      </c>
    </row>
    <row r="3733" spans="12:13">
      <c r="L3733" s="66">
        <v>741412</v>
      </c>
      <c r="M3733" t="s">
        <v>2748</v>
      </c>
    </row>
    <row r="3734" spans="12:13">
      <c r="L3734" s="66">
        <v>741413</v>
      </c>
      <c r="M3734" t="s">
        <v>2749</v>
      </c>
    </row>
    <row r="3735" spans="12:13">
      <c r="L3735" s="66">
        <v>741414</v>
      </c>
      <c r="M3735" t="s">
        <v>2750</v>
      </c>
    </row>
    <row r="3736" spans="12:13">
      <c r="L3736" s="66">
        <v>741500</v>
      </c>
      <c r="M3736" t="s">
        <v>2751</v>
      </c>
    </row>
    <row r="3737" spans="12:13">
      <c r="L3737" s="66">
        <v>741510</v>
      </c>
      <c r="M3737" t="s">
        <v>2753</v>
      </c>
    </row>
    <row r="3738" spans="12:13">
      <c r="L3738" s="66">
        <v>741511</v>
      </c>
      <c r="M3738" t="s">
        <v>2754</v>
      </c>
    </row>
    <row r="3739" spans="12:13">
      <c r="L3739" s="66">
        <v>741512</v>
      </c>
      <c r="M3739" t="s">
        <v>2755</v>
      </c>
    </row>
    <row r="3740" spans="12:13">
      <c r="L3740" s="66">
        <v>741513</v>
      </c>
      <c r="M3740" t="s">
        <v>2756</v>
      </c>
    </row>
    <row r="3741" spans="12:13">
      <c r="L3741" s="66">
        <v>741514</v>
      </c>
      <c r="M3741" t="s">
        <v>2757</v>
      </c>
    </row>
    <row r="3742" spans="12:13">
      <c r="L3742" s="66">
        <v>741515</v>
      </c>
      <c r="M3742" t="s">
        <v>2758</v>
      </c>
    </row>
    <row r="3743" spans="12:13">
      <c r="L3743" s="66">
        <v>741516</v>
      </c>
      <c r="M3743" t="s">
        <v>2759</v>
      </c>
    </row>
    <row r="3744" spans="12:13">
      <c r="L3744" s="66">
        <v>741517</v>
      </c>
      <c r="M3744" t="s">
        <v>2760</v>
      </c>
    </row>
    <row r="3745" spans="12:13">
      <c r="L3745" s="66">
        <v>741520</v>
      </c>
      <c r="M3745" t="s">
        <v>2761</v>
      </c>
    </row>
    <row r="3746" spans="12:13">
      <c r="L3746" s="66">
        <v>741521</v>
      </c>
      <c r="M3746" t="s">
        <v>2762</v>
      </c>
    </row>
    <row r="3747" spans="12:13">
      <c r="L3747" s="66">
        <v>741522</v>
      </c>
      <c r="M3747" t="s">
        <v>2763</v>
      </c>
    </row>
    <row r="3748" spans="12:13">
      <c r="L3748" s="66">
        <v>741523</v>
      </c>
      <c r="M3748" t="s">
        <v>2764</v>
      </c>
    </row>
    <row r="3749" spans="12:13">
      <c r="L3749" s="66">
        <v>741524</v>
      </c>
      <c r="M3749" t="s">
        <v>2765</v>
      </c>
    </row>
    <row r="3750" spans="12:13">
      <c r="L3750" s="66">
        <v>741525</v>
      </c>
      <c r="M3750" t="s">
        <v>2766</v>
      </c>
    </row>
    <row r="3751" spans="12:13">
      <c r="L3751" s="66">
        <v>741526</v>
      </c>
      <c r="M3751" t="s">
        <v>2767</v>
      </c>
    </row>
    <row r="3752" spans="12:13">
      <c r="L3752" s="66">
        <v>741527</v>
      </c>
      <c r="M3752" t="s">
        <v>2768</v>
      </c>
    </row>
    <row r="3753" spans="12:13">
      <c r="L3753" s="66">
        <v>741528</v>
      </c>
      <c r="M3753" t="s">
        <v>2769</v>
      </c>
    </row>
    <row r="3754" spans="12:13">
      <c r="L3754" s="66">
        <v>741529</v>
      </c>
      <c r="M3754" t="s">
        <v>2770</v>
      </c>
    </row>
    <row r="3755" spans="12:13">
      <c r="L3755" s="66">
        <v>741530</v>
      </c>
      <c r="M3755" t="s">
        <v>2771</v>
      </c>
    </row>
    <row r="3756" spans="12:13">
      <c r="L3756" s="66">
        <v>741531</v>
      </c>
      <c r="M3756" t="s">
        <v>2773</v>
      </c>
    </row>
    <row r="3757" spans="12:13">
      <c r="L3757" s="66">
        <v>741532</v>
      </c>
      <c r="M3757" t="s">
        <v>2775</v>
      </c>
    </row>
    <row r="3758" spans="12:13">
      <c r="L3758" s="66">
        <v>741533</v>
      </c>
      <c r="M3758" t="s">
        <v>2777</v>
      </c>
    </row>
    <row r="3759" spans="12:13">
      <c r="L3759" s="66">
        <v>741534</v>
      </c>
      <c r="M3759" t="s">
        <v>2779</v>
      </c>
    </row>
    <row r="3760" spans="12:13">
      <c r="L3760" s="66">
        <v>741535</v>
      </c>
      <c r="M3760" t="s">
        <v>2781</v>
      </c>
    </row>
    <row r="3761" spans="12:13">
      <c r="L3761" s="66">
        <v>741536</v>
      </c>
      <c r="M3761" t="s">
        <v>2782</v>
      </c>
    </row>
    <row r="3762" spans="12:13">
      <c r="L3762" s="66">
        <v>741537</v>
      </c>
      <c r="M3762" t="s">
        <v>2783</v>
      </c>
    </row>
    <row r="3763" spans="12:13">
      <c r="L3763" s="66">
        <v>741540</v>
      </c>
      <c r="M3763" t="s">
        <v>2784</v>
      </c>
    </row>
    <row r="3764" spans="12:13">
      <c r="L3764" s="66">
        <v>741541</v>
      </c>
      <c r="M3764" t="s">
        <v>2785</v>
      </c>
    </row>
    <row r="3765" spans="12:13">
      <c r="L3765" s="66">
        <v>741542</v>
      </c>
      <c r="M3765" t="s">
        <v>2787</v>
      </c>
    </row>
    <row r="3766" spans="12:13">
      <c r="L3766" s="66">
        <v>741543</v>
      </c>
      <c r="M3766" t="s">
        <v>2788</v>
      </c>
    </row>
    <row r="3767" spans="12:13">
      <c r="L3767" s="66">
        <v>741550</v>
      </c>
      <c r="M3767" t="s">
        <v>2789</v>
      </c>
    </row>
    <row r="3768" spans="12:13">
      <c r="L3768" s="66">
        <v>741551</v>
      </c>
      <c r="M3768" t="s">
        <v>2789</v>
      </c>
    </row>
    <row r="3769" spans="12:13">
      <c r="L3769" s="66">
        <v>741560</v>
      </c>
      <c r="M3769" t="s">
        <v>2791</v>
      </c>
    </row>
    <row r="3770" spans="12:13">
      <c r="L3770" s="66">
        <v>741561</v>
      </c>
      <c r="M3770" t="s">
        <v>2792</v>
      </c>
    </row>
    <row r="3771" spans="12:13">
      <c r="L3771" s="66">
        <v>741562</v>
      </c>
      <c r="M3771" t="s">
        <v>2793</v>
      </c>
    </row>
    <row r="3772" spans="12:13">
      <c r="L3772" s="66">
        <v>741563</v>
      </c>
      <c r="M3772" t="s">
        <v>2794</v>
      </c>
    </row>
    <row r="3773" spans="12:13">
      <c r="L3773" s="66">
        <v>741564</v>
      </c>
      <c r="M3773" t="s">
        <v>2795</v>
      </c>
    </row>
    <row r="3774" spans="12:13">
      <c r="L3774" s="66">
        <v>741565</v>
      </c>
      <c r="M3774" t="s">
        <v>2796</v>
      </c>
    </row>
    <row r="3775" spans="12:13">
      <c r="L3775" s="66">
        <v>741566</v>
      </c>
      <c r="M3775" t="s">
        <v>2797</v>
      </c>
    </row>
    <row r="3776" spans="12:13">
      <c r="L3776" s="66">
        <v>741567</v>
      </c>
      <c r="M3776" t="s">
        <v>2798</v>
      </c>
    </row>
    <row r="3777" spans="12:13">
      <c r="L3777" s="66">
        <v>741568</v>
      </c>
      <c r="M3777" t="s">
        <v>2799</v>
      </c>
    </row>
    <row r="3778" spans="12:13">
      <c r="L3778" s="66">
        <v>741569</v>
      </c>
      <c r="M3778" t="s">
        <v>2800</v>
      </c>
    </row>
    <row r="3779" spans="12:13">
      <c r="L3779" s="66">
        <v>741570</v>
      </c>
      <c r="M3779" t="s">
        <v>2801</v>
      </c>
    </row>
    <row r="3780" spans="12:13">
      <c r="L3780" s="66">
        <v>741571</v>
      </c>
      <c r="M3780" t="s">
        <v>2801</v>
      </c>
    </row>
    <row r="3781" spans="12:13">
      <c r="L3781" s="66">
        <v>741572</v>
      </c>
      <c r="M3781" t="s">
        <v>2802</v>
      </c>
    </row>
    <row r="3782" spans="12:13">
      <c r="L3782" s="66">
        <v>741580</v>
      </c>
      <c r="M3782" t="s">
        <v>2803</v>
      </c>
    </row>
    <row r="3783" spans="12:13">
      <c r="L3783" s="66">
        <v>741581</v>
      </c>
      <c r="M3783" t="s">
        <v>2804</v>
      </c>
    </row>
    <row r="3784" spans="12:13">
      <c r="L3784" s="66">
        <v>741582</v>
      </c>
      <c r="M3784" t="s">
        <v>2805</v>
      </c>
    </row>
    <row r="3785" spans="12:13">
      <c r="L3785" s="66">
        <v>741583</v>
      </c>
      <c r="M3785" t="s">
        <v>2806</v>
      </c>
    </row>
    <row r="3786" spans="12:13">
      <c r="L3786" s="66">
        <v>741590</v>
      </c>
      <c r="M3786" t="s">
        <v>2807</v>
      </c>
    </row>
    <row r="3787" spans="12:13">
      <c r="L3787" s="66">
        <v>741591</v>
      </c>
      <c r="M3787" t="s">
        <v>2808</v>
      </c>
    </row>
    <row r="3788" spans="12:13">
      <c r="L3788" s="66">
        <v>741592</v>
      </c>
      <c r="M3788" t="s">
        <v>2809</v>
      </c>
    </row>
    <row r="3789" spans="12:13">
      <c r="L3789" s="66">
        <v>741593</v>
      </c>
      <c r="M3789" t="s">
        <v>2810</v>
      </c>
    </row>
    <row r="3790" spans="12:13">
      <c r="L3790" s="66">
        <v>741594</v>
      </c>
      <c r="M3790" t="s">
        <v>2811</v>
      </c>
    </row>
    <row r="3791" spans="12:13">
      <c r="L3791" s="66">
        <v>741595</v>
      </c>
      <c r="M3791" t="s">
        <v>2812</v>
      </c>
    </row>
    <row r="3792" spans="12:13">
      <c r="L3792" s="66">
        <v>741600</v>
      </c>
      <c r="M3792" t="s">
        <v>1661</v>
      </c>
    </row>
    <row r="3793" spans="12:13">
      <c r="L3793" s="66">
        <v>741610</v>
      </c>
      <c r="M3793" t="s">
        <v>1661</v>
      </c>
    </row>
    <row r="3794" spans="12:13">
      <c r="L3794" s="66">
        <v>741611</v>
      </c>
      <c r="M3794" t="s">
        <v>1661</v>
      </c>
    </row>
    <row r="3795" spans="12:13">
      <c r="L3795" s="66">
        <v>742000</v>
      </c>
      <c r="M3795" t="s">
        <v>2814</v>
      </c>
    </row>
    <row r="3796" spans="12:13">
      <c r="L3796" s="66">
        <v>742100</v>
      </c>
      <c r="M3796" t="s">
        <v>2815</v>
      </c>
    </row>
    <row r="3797" spans="12:13">
      <c r="L3797" s="66">
        <v>742120</v>
      </c>
      <c r="M3797" t="s">
        <v>2816</v>
      </c>
    </row>
    <row r="3798" spans="12:13">
      <c r="L3798" s="66">
        <v>742121</v>
      </c>
      <c r="M3798" t="s">
        <v>2817</v>
      </c>
    </row>
    <row r="3799" spans="12:13">
      <c r="L3799" s="66">
        <v>742122</v>
      </c>
      <c r="M3799" t="s">
        <v>2818</v>
      </c>
    </row>
    <row r="3800" spans="12:13">
      <c r="L3800" s="66">
        <v>742123</v>
      </c>
      <c r="M3800" t="s">
        <v>2819</v>
      </c>
    </row>
    <row r="3801" spans="12:13">
      <c r="L3801" s="66">
        <v>742124</v>
      </c>
      <c r="M3801" t="s">
        <v>2820</v>
      </c>
    </row>
    <row r="3802" spans="12:13">
      <c r="L3802" s="66">
        <v>742125</v>
      </c>
      <c r="M3802" t="s">
        <v>2821</v>
      </c>
    </row>
    <row r="3803" spans="12:13">
      <c r="L3803" s="66">
        <v>742126</v>
      </c>
      <c r="M3803" t="s">
        <v>2822</v>
      </c>
    </row>
    <row r="3804" spans="12:13">
      <c r="L3804" s="66">
        <v>742127</v>
      </c>
      <c r="M3804" t="s">
        <v>2823</v>
      </c>
    </row>
    <row r="3805" spans="12:13">
      <c r="L3805" s="66">
        <v>742128</v>
      </c>
      <c r="M3805" t="s">
        <v>2824</v>
      </c>
    </row>
    <row r="3806" spans="12:13">
      <c r="L3806" s="66">
        <v>742129</v>
      </c>
      <c r="M3806" t="s">
        <v>2825</v>
      </c>
    </row>
    <row r="3807" spans="12:13">
      <c r="L3807" s="66">
        <v>742130</v>
      </c>
      <c r="M3807" t="s">
        <v>2826</v>
      </c>
    </row>
    <row r="3808" spans="12:13">
      <c r="L3808" s="66">
        <v>742131</v>
      </c>
      <c r="M3808" t="s">
        <v>2827</v>
      </c>
    </row>
    <row r="3809" spans="12:13">
      <c r="L3809" s="66">
        <v>742132</v>
      </c>
      <c r="M3809" t="s">
        <v>2828</v>
      </c>
    </row>
    <row r="3810" spans="12:13">
      <c r="L3810" s="66">
        <v>742133</v>
      </c>
      <c r="M3810" t="s">
        <v>2829</v>
      </c>
    </row>
    <row r="3811" spans="12:13">
      <c r="L3811" s="66">
        <v>742134</v>
      </c>
      <c r="M3811" t="s">
        <v>2830</v>
      </c>
    </row>
    <row r="3812" spans="12:13">
      <c r="L3812" s="66">
        <v>742135</v>
      </c>
      <c r="M3812" t="s">
        <v>2831</v>
      </c>
    </row>
    <row r="3813" spans="12:13">
      <c r="L3813" s="66">
        <v>742136</v>
      </c>
      <c r="M3813" t="s">
        <v>2832</v>
      </c>
    </row>
    <row r="3814" spans="12:13">
      <c r="L3814" s="66">
        <v>742140</v>
      </c>
      <c r="M3814" t="s">
        <v>2833</v>
      </c>
    </row>
    <row r="3815" spans="12:13">
      <c r="L3815" s="66">
        <v>742141</v>
      </c>
      <c r="M3815" t="s">
        <v>2833</v>
      </c>
    </row>
    <row r="3816" spans="12:13">
      <c r="L3816" s="66">
        <v>742142</v>
      </c>
      <c r="M3816" t="s">
        <v>2834</v>
      </c>
    </row>
    <row r="3817" spans="12:13">
      <c r="L3817" s="66">
        <v>742143</v>
      </c>
      <c r="M3817" t="s">
        <v>2835</v>
      </c>
    </row>
    <row r="3818" spans="12:13">
      <c r="L3818" s="66">
        <v>742144</v>
      </c>
      <c r="M3818" t="s">
        <v>2836</v>
      </c>
    </row>
    <row r="3819" spans="12:13">
      <c r="L3819" s="66">
        <v>742145</v>
      </c>
      <c r="M3819" t="s">
        <v>2837</v>
      </c>
    </row>
    <row r="3820" spans="12:13">
      <c r="L3820" s="66">
        <v>742150</v>
      </c>
      <c r="M3820" t="s">
        <v>2838</v>
      </c>
    </row>
    <row r="3821" spans="12:13">
      <c r="L3821" s="66">
        <v>742151</v>
      </c>
      <c r="M3821" t="s">
        <v>2839</v>
      </c>
    </row>
    <row r="3822" spans="12:13">
      <c r="L3822" s="66">
        <v>742152</v>
      </c>
      <c r="M3822" t="s">
        <v>2840</v>
      </c>
    </row>
    <row r="3823" spans="12:13">
      <c r="L3823" s="66">
        <v>742153</v>
      </c>
      <c r="M3823" t="s">
        <v>2841</v>
      </c>
    </row>
    <row r="3824" spans="12:13">
      <c r="L3824" s="66">
        <v>742154</v>
      </c>
      <c r="M3824" t="s">
        <v>2842</v>
      </c>
    </row>
    <row r="3825" spans="12:13">
      <c r="L3825" s="66">
        <v>742155</v>
      </c>
      <c r="M3825" t="s">
        <v>2843</v>
      </c>
    </row>
    <row r="3826" spans="12:13">
      <c r="L3826" s="66">
        <v>742160</v>
      </c>
      <c r="M3826" t="s">
        <v>2844</v>
      </c>
    </row>
    <row r="3827" spans="12:13">
      <c r="L3827" s="66">
        <v>742161</v>
      </c>
      <c r="M3827" t="s">
        <v>2845</v>
      </c>
    </row>
    <row r="3828" spans="12:13">
      <c r="L3828" s="66">
        <v>742162</v>
      </c>
      <c r="M3828" t="s">
        <v>2846</v>
      </c>
    </row>
    <row r="3829" spans="12:13">
      <c r="L3829" s="66">
        <v>742165</v>
      </c>
      <c r="M3829" t="s">
        <v>2847</v>
      </c>
    </row>
    <row r="3830" spans="12:13">
      <c r="L3830" s="66">
        <v>742200</v>
      </c>
      <c r="M3830" t="s">
        <v>2848</v>
      </c>
    </row>
    <row r="3831" spans="12:13">
      <c r="L3831" s="66">
        <v>742210</v>
      </c>
      <c r="M3831" t="s">
        <v>2849</v>
      </c>
    </row>
    <row r="3832" spans="12:13">
      <c r="L3832" s="66">
        <v>742213</v>
      </c>
      <c r="M3832" t="s">
        <v>2849</v>
      </c>
    </row>
    <row r="3833" spans="12:13">
      <c r="L3833" s="66">
        <v>742220</v>
      </c>
      <c r="M3833" t="s">
        <v>2850</v>
      </c>
    </row>
    <row r="3834" spans="12:13">
      <c r="L3834" s="66">
        <v>742221</v>
      </c>
      <c r="M3834" t="s">
        <v>2851</v>
      </c>
    </row>
    <row r="3835" spans="12:13">
      <c r="L3835" s="66">
        <v>742222</v>
      </c>
      <c r="M3835" t="s">
        <v>2852</v>
      </c>
    </row>
    <row r="3836" spans="12:13">
      <c r="L3836" s="66">
        <v>742223</v>
      </c>
      <c r="M3836" t="s">
        <v>2853</v>
      </c>
    </row>
    <row r="3837" spans="12:13">
      <c r="L3837" s="66">
        <v>742224</v>
      </c>
      <c r="M3837" t="s">
        <v>2854</v>
      </c>
    </row>
    <row r="3838" spans="12:13">
      <c r="L3838" s="66">
        <v>742225</v>
      </c>
      <c r="M3838" t="s">
        <v>2855</v>
      </c>
    </row>
    <row r="3839" spans="12:13">
      <c r="L3839" s="66">
        <v>742226</v>
      </c>
      <c r="M3839" t="s">
        <v>2856</v>
      </c>
    </row>
    <row r="3840" spans="12:13">
      <c r="L3840" s="66">
        <v>742227</v>
      </c>
      <c r="M3840" t="s">
        <v>2857</v>
      </c>
    </row>
    <row r="3841" spans="12:13">
      <c r="L3841" s="66">
        <v>742228</v>
      </c>
      <c r="M3841" t="s">
        <v>2858</v>
      </c>
    </row>
    <row r="3842" spans="12:13">
      <c r="L3842" s="66">
        <v>742229</v>
      </c>
      <c r="M3842" t="s">
        <v>2859</v>
      </c>
    </row>
    <row r="3843" spans="12:13">
      <c r="L3843" s="66">
        <v>742230</v>
      </c>
      <c r="M3843" t="s">
        <v>2860</v>
      </c>
    </row>
    <row r="3844" spans="12:13">
      <c r="L3844" s="66">
        <v>742231</v>
      </c>
      <c r="M3844" t="s">
        <v>2861</v>
      </c>
    </row>
    <row r="3845" spans="12:13">
      <c r="L3845" s="66">
        <v>742232</v>
      </c>
      <c r="M3845" t="s">
        <v>2862</v>
      </c>
    </row>
    <row r="3846" spans="12:13">
      <c r="L3846" s="66">
        <v>742240</v>
      </c>
      <c r="M3846" t="s">
        <v>2863</v>
      </c>
    </row>
    <row r="3847" spans="12:13">
      <c r="L3847" s="66">
        <v>742241</v>
      </c>
      <c r="M3847" t="s">
        <v>2864</v>
      </c>
    </row>
    <row r="3848" spans="12:13">
      <c r="L3848" s="66">
        <v>742250</v>
      </c>
      <c r="M3848" t="s">
        <v>2865</v>
      </c>
    </row>
    <row r="3849" spans="12:13">
      <c r="L3849" s="66">
        <v>742251</v>
      </c>
      <c r="M3849" t="s">
        <v>2866</v>
      </c>
    </row>
    <row r="3850" spans="12:13">
      <c r="L3850" s="66">
        <v>742252</v>
      </c>
      <c r="M3850" t="s">
        <v>2867</v>
      </c>
    </row>
    <row r="3851" spans="12:13">
      <c r="L3851" s="66">
        <v>742253</v>
      </c>
      <c r="M3851" t="s">
        <v>2868</v>
      </c>
    </row>
    <row r="3852" spans="12:13">
      <c r="L3852" s="66">
        <v>742254</v>
      </c>
      <c r="M3852" t="s">
        <v>2869</v>
      </c>
    </row>
    <row r="3853" spans="12:13">
      <c r="L3853" s="66">
        <v>742260</v>
      </c>
      <c r="M3853" t="s">
        <v>2870</v>
      </c>
    </row>
    <row r="3854" spans="12:13">
      <c r="L3854" s="66">
        <v>742261</v>
      </c>
      <c r="M3854" t="s">
        <v>2871</v>
      </c>
    </row>
    <row r="3855" spans="12:13">
      <c r="L3855" s="66">
        <v>742262</v>
      </c>
      <c r="M3855" t="s">
        <v>2872</v>
      </c>
    </row>
    <row r="3856" spans="12:13">
      <c r="L3856" s="66">
        <v>742265</v>
      </c>
      <c r="M3856" t="s">
        <v>2873</v>
      </c>
    </row>
    <row r="3857" spans="12:13">
      <c r="L3857" s="66">
        <v>742270</v>
      </c>
      <c r="M3857" t="s">
        <v>2874</v>
      </c>
    </row>
    <row r="3858" spans="12:13">
      <c r="L3858" s="66">
        <v>742271</v>
      </c>
      <c r="M3858" t="s">
        <v>2875</v>
      </c>
    </row>
    <row r="3859" spans="12:13">
      <c r="L3859" s="66">
        <v>742272</v>
      </c>
      <c r="M3859" t="s">
        <v>2876</v>
      </c>
    </row>
    <row r="3860" spans="12:13">
      <c r="L3860" s="66">
        <v>742280</v>
      </c>
      <c r="M3860" t="s">
        <v>2877</v>
      </c>
    </row>
    <row r="3861" spans="12:13">
      <c r="L3861" s="66">
        <v>742281</v>
      </c>
      <c r="M3861" t="s">
        <v>2878</v>
      </c>
    </row>
    <row r="3862" spans="12:13">
      <c r="L3862" s="66">
        <v>742282</v>
      </c>
      <c r="M3862" t="s">
        <v>2879</v>
      </c>
    </row>
    <row r="3863" spans="12:13">
      <c r="L3863" s="66">
        <v>742283</v>
      </c>
      <c r="M3863" t="s">
        <v>2880</v>
      </c>
    </row>
    <row r="3864" spans="12:13">
      <c r="L3864" s="66">
        <v>742284</v>
      </c>
      <c r="M3864" t="s">
        <v>2881</v>
      </c>
    </row>
    <row r="3865" spans="12:13">
      <c r="L3865" s="66">
        <v>742285</v>
      </c>
      <c r="M3865" t="s">
        <v>2882</v>
      </c>
    </row>
    <row r="3866" spans="12:13">
      <c r="L3866" s="66">
        <v>742286</v>
      </c>
      <c r="M3866" t="s">
        <v>2883</v>
      </c>
    </row>
    <row r="3867" spans="12:13">
      <c r="L3867" s="66">
        <v>742287</v>
      </c>
      <c r="M3867" t="s">
        <v>2884</v>
      </c>
    </row>
    <row r="3868" spans="12:13">
      <c r="L3868" s="66">
        <v>742288</v>
      </c>
      <c r="M3868" t="s">
        <v>2885</v>
      </c>
    </row>
    <row r="3869" spans="12:13">
      <c r="L3869" s="66">
        <v>742289</v>
      </c>
      <c r="M3869" t="s">
        <v>2886</v>
      </c>
    </row>
    <row r="3870" spans="12:13">
      <c r="L3870" s="66">
        <v>742290</v>
      </c>
      <c r="M3870" t="s">
        <v>2887</v>
      </c>
    </row>
    <row r="3871" spans="12:13">
      <c r="L3871" s="66">
        <v>742291</v>
      </c>
      <c r="M3871" t="s">
        <v>2888</v>
      </c>
    </row>
    <row r="3872" spans="12:13">
      <c r="L3872" s="66">
        <v>742292</v>
      </c>
      <c r="M3872" t="s">
        <v>2889</v>
      </c>
    </row>
    <row r="3873" spans="12:13">
      <c r="L3873" s="66">
        <v>742300</v>
      </c>
      <c r="M3873" t="s">
        <v>2890</v>
      </c>
    </row>
    <row r="3874" spans="12:13">
      <c r="L3874" s="66">
        <v>742310</v>
      </c>
      <c r="M3874" t="s">
        <v>2891</v>
      </c>
    </row>
    <row r="3875" spans="12:13">
      <c r="L3875" s="66">
        <v>742312</v>
      </c>
      <c r="M3875" t="s">
        <v>2892</v>
      </c>
    </row>
    <row r="3876" spans="12:13">
      <c r="L3876" s="66">
        <v>742320</v>
      </c>
      <c r="M3876" t="s">
        <v>2893</v>
      </c>
    </row>
    <row r="3877" spans="12:13">
      <c r="L3877" s="66">
        <v>742321</v>
      </c>
      <c r="M3877" t="s">
        <v>2894</v>
      </c>
    </row>
    <row r="3878" spans="12:13">
      <c r="L3878" s="66">
        <v>742322</v>
      </c>
      <c r="M3878" t="s">
        <v>2895</v>
      </c>
    </row>
    <row r="3879" spans="12:13">
      <c r="L3879" s="66">
        <v>742323</v>
      </c>
      <c r="M3879" t="s">
        <v>2896</v>
      </c>
    </row>
    <row r="3880" spans="12:13">
      <c r="L3880" s="66">
        <v>742324</v>
      </c>
      <c r="M3880" t="s">
        <v>2897</v>
      </c>
    </row>
    <row r="3881" spans="12:13">
      <c r="L3881" s="66">
        <v>742325</v>
      </c>
      <c r="M3881" t="s">
        <v>2898</v>
      </c>
    </row>
    <row r="3882" spans="12:13">
      <c r="L3882" s="66">
        <v>742326</v>
      </c>
      <c r="M3882" t="s">
        <v>2899</v>
      </c>
    </row>
    <row r="3883" spans="12:13">
      <c r="L3883" s="66">
        <v>742327</v>
      </c>
      <c r="M3883" t="s">
        <v>2900</v>
      </c>
    </row>
    <row r="3884" spans="12:13">
      <c r="L3884" s="66">
        <v>742328</v>
      </c>
      <c r="M3884" t="s">
        <v>2901</v>
      </c>
    </row>
    <row r="3885" spans="12:13">
      <c r="L3885" s="66">
        <v>742329</v>
      </c>
      <c r="M3885" t="s">
        <v>2902</v>
      </c>
    </row>
    <row r="3886" spans="12:13">
      <c r="L3886" s="66">
        <v>742330</v>
      </c>
      <c r="M3886" t="s">
        <v>2903</v>
      </c>
    </row>
    <row r="3887" spans="12:13">
      <c r="L3887" s="66">
        <v>742331</v>
      </c>
      <c r="M3887" t="s">
        <v>2904</v>
      </c>
    </row>
    <row r="3888" spans="12:13">
      <c r="L3888" s="66">
        <v>742332</v>
      </c>
      <c r="M3888" t="s">
        <v>2905</v>
      </c>
    </row>
    <row r="3889" spans="12:13">
      <c r="L3889" s="66">
        <v>742340</v>
      </c>
      <c r="M3889" t="s">
        <v>2906</v>
      </c>
    </row>
    <row r="3890" spans="12:13">
      <c r="L3890" s="66">
        <v>742341</v>
      </c>
      <c r="M3890" t="s">
        <v>2907</v>
      </c>
    </row>
    <row r="3891" spans="12:13">
      <c r="L3891" s="66">
        <v>742350</v>
      </c>
      <c r="M3891" t="s">
        <v>2908</v>
      </c>
    </row>
    <row r="3892" spans="12:13">
      <c r="L3892" s="66">
        <v>742351</v>
      </c>
      <c r="M3892" t="s">
        <v>2909</v>
      </c>
    </row>
    <row r="3893" spans="12:13">
      <c r="L3893" s="66">
        <v>742360</v>
      </c>
      <c r="M3893" t="s">
        <v>2910</v>
      </c>
    </row>
    <row r="3894" spans="12:13">
      <c r="L3894" s="66">
        <v>742361</v>
      </c>
      <c r="M3894" t="s">
        <v>2910</v>
      </c>
    </row>
    <row r="3895" spans="12:13">
      <c r="L3895" s="66">
        <v>742370</v>
      </c>
      <c r="M3895" t="s">
        <v>2911</v>
      </c>
    </row>
    <row r="3896" spans="12:13">
      <c r="L3896" s="66">
        <v>742371</v>
      </c>
      <c r="M3896" t="s">
        <v>2912</v>
      </c>
    </row>
    <row r="3897" spans="12:13">
      <c r="L3897" s="66">
        <v>742372</v>
      </c>
      <c r="M3897" t="s">
        <v>2913</v>
      </c>
    </row>
    <row r="3898" spans="12:13">
      <c r="L3898" s="66">
        <v>742373</v>
      </c>
      <c r="M3898" t="s">
        <v>2914</v>
      </c>
    </row>
    <row r="3899" spans="12:13">
      <c r="L3899" s="66">
        <v>742378</v>
      </c>
      <c r="M3899" t="s">
        <v>2915</v>
      </c>
    </row>
    <row r="3900" spans="12:13">
      <c r="L3900" s="66">
        <v>742400</v>
      </c>
      <c r="M3900" t="s">
        <v>2916</v>
      </c>
    </row>
    <row r="3901" spans="12:13">
      <c r="L3901" s="66">
        <v>742410</v>
      </c>
      <c r="M3901" t="s">
        <v>2916</v>
      </c>
    </row>
    <row r="3902" spans="12:13">
      <c r="L3902" s="66">
        <v>742411</v>
      </c>
      <c r="M3902" t="s">
        <v>2916</v>
      </c>
    </row>
    <row r="3903" spans="12:13">
      <c r="L3903" s="66">
        <v>743000</v>
      </c>
      <c r="M3903" t="s">
        <v>2918</v>
      </c>
    </row>
    <row r="3904" spans="12:13">
      <c r="L3904" s="66">
        <v>743100</v>
      </c>
      <c r="M3904" t="s">
        <v>2919</v>
      </c>
    </row>
    <row r="3905" spans="12:13">
      <c r="L3905" s="66">
        <v>743120</v>
      </c>
      <c r="M3905" t="s">
        <v>2920</v>
      </c>
    </row>
    <row r="3906" spans="12:13">
      <c r="L3906" s="66">
        <v>743121</v>
      </c>
      <c r="M3906" t="s">
        <v>2919</v>
      </c>
    </row>
    <row r="3907" spans="12:13">
      <c r="L3907" s="66">
        <v>743122</v>
      </c>
      <c r="M3907" t="s">
        <v>2921</v>
      </c>
    </row>
    <row r="3908" spans="12:13">
      <c r="L3908" s="66">
        <v>743123</v>
      </c>
      <c r="M3908" t="s">
        <v>2922</v>
      </c>
    </row>
    <row r="3909" spans="12:13">
      <c r="L3909" s="66">
        <v>743124</v>
      </c>
      <c r="M3909" t="s">
        <v>2923</v>
      </c>
    </row>
    <row r="3910" spans="12:13">
      <c r="L3910" s="66">
        <v>743130</v>
      </c>
      <c r="M3910" t="s">
        <v>2924</v>
      </c>
    </row>
    <row r="3911" spans="12:13">
      <c r="L3911" s="66">
        <v>743131</v>
      </c>
      <c r="M3911" t="s">
        <v>2924</v>
      </c>
    </row>
    <row r="3912" spans="12:13">
      <c r="L3912" s="66">
        <v>743140</v>
      </c>
      <c r="M3912" t="s">
        <v>2925</v>
      </c>
    </row>
    <row r="3913" spans="12:13">
      <c r="L3913" s="66">
        <v>743141</v>
      </c>
      <c r="M3913" t="s">
        <v>2925</v>
      </c>
    </row>
    <row r="3914" spans="12:13">
      <c r="L3914" s="66">
        <v>743150</v>
      </c>
      <c r="M3914" t="s">
        <v>2926</v>
      </c>
    </row>
    <row r="3915" spans="12:13">
      <c r="L3915" s="66">
        <v>743151</v>
      </c>
      <c r="M3915" t="s">
        <v>2926</v>
      </c>
    </row>
    <row r="3916" spans="12:13">
      <c r="L3916" s="66">
        <v>743160</v>
      </c>
      <c r="M3916" t="s">
        <v>2927</v>
      </c>
    </row>
    <row r="3917" spans="12:13">
      <c r="L3917" s="66">
        <v>743161</v>
      </c>
      <c r="M3917" t="s">
        <v>2927</v>
      </c>
    </row>
    <row r="3918" spans="12:13">
      <c r="L3918" s="66">
        <v>743200</v>
      </c>
      <c r="M3918" t="s">
        <v>2928</v>
      </c>
    </row>
    <row r="3919" spans="12:13">
      <c r="L3919" s="66">
        <v>743220</v>
      </c>
      <c r="M3919" t="s">
        <v>2929</v>
      </c>
    </row>
    <row r="3920" spans="12:13">
      <c r="L3920" s="66">
        <v>743221</v>
      </c>
      <c r="M3920" t="s">
        <v>2928</v>
      </c>
    </row>
    <row r="3921" spans="12:13">
      <c r="L3921" s="66">
        <v>743222</v>
      </c>
      <c r="M3921" t="s">
        <v>2930</v>
      </c>
    </row>
    <row r="3922" spans="12:13">
      <c r="L3922" s="66">
        <v>743223</v>
      </c>
      <c r="M3922" t="s">
        <v>2931</v>
      </c>
    </row>
    <row r="3923" spans="12:13">
      <c r="L3923" s="66">
        <v>743224</v>
      </c>
      <c r="M3923" t="s">
        <v>2932</v>
      </c>
    </row>
    <row r="3924" spans="12:13">
      <c r="L3924" s="66">
        <v>743230</v>
      </c>
      <c r="M3924" t="s">
        <v>2933</v>
      </c>
    </row>
    <row r="3925" spans="12:13">
      <c r="L3925" s="66">
        <v>743231</v>
      </c>
      <c r="M3925" t="s">
        <v>2933</v>
      </c>
    </row>
    <row r="3926" spans="12:13">
      <c r="L3926" s="66">
        <v>743240</v>
      </c>
      <c r="M3926" t="s">
        <v>2934</v>
      </c>
    </row>
    <row r="3927" spans="12:13">
      <c r="L3927" s="66">
        <v>743241</v>
      </c>
      <c r="M3927" t="s">
        <v>2934</v>
      </c>
    </row>
    <row r="3928" spans="12:13">
      <c r="L3928" s="66">
        <v>743250</v>
      </c>
      <c r="M3928" t="s">
        <v>2935</v>
      </c>
    </row>
    <row r="3929" spans="12:13">
      <c r="L3929" s="66">
        <v>743251</v>
      </c>
      <c r="M3929" t="s">
        <v>2935</v>
      </c>
    </row>
    <row r="3930" spans="12:13">
      <c r="L3930" s="66">
        <v>743260</v>
      </c>
      <c r="M3930" t="s">
        <v>2936</v>
      </c>
    </row>
    <row r="3931" spans="12:13">
      <c r="L3931" s="66">
        <v>743261</v>
      </c>
      <c r="M3931" t="s">
        <v>2936</v>
      </c>
    </row>
    <row r="3932" spans="12:13">
      <c r="L3932" s="66">
        <v>743300</v>
      </c>
      <c r="M3932" t="s">
        <v>2937</v>
      </c>
    </row>
    <row r="3933" spans="12:13">
      <c r="L3933" s="66">
        <v>743320</v>
      </c>
      <c r="M3933" t="s">
        <v>2938</v>
      </c>
    </row>
    <row r="3934" spans="12:13">
      <c r="L3934" s="66">
        <v>743321</v>
      </c>
      <c r="M3934" t="s">
        <v>2937</v>
      </c>
    </row>
    <row r="3935" spans="12:13">
      <c r="L3935" s="66">
        <v>743322</v>
      </c>
      <c r="M3935" t="s">
        <v>2939</v>
      </c>
    </row>
    <row r="3936" spans="12:13">
      <c r="L3936" s="66">
        <v>743323</v>
      </c>
      <c r="M3936" t="s">
        <v>2940</v>
      </c>
    </row>
    <row r="3937" spans="12:13">
      <c r="L3937" s="66">
        <v>743324</v>
      </c>
      <c r="M3937" t="s">
        <v>2942</v>
      </c>
    </row>
    <row r="3938" spans="12:13">
      <c r="L3938" s="66">
        <v>743325</v>
      </c>
      <c r="M3938" t="s">
        <v>2943</v>
      </c>
    </row>
    <row r="3939" spans="12:13">
      <c r="L3939" s="66">
        <v>743326</v>
      </c>
      <c r="M3939" t="s">
        <v>2944</v>
      </c>
    </row>
    <row r="3940" spans="12:13">
      <c r="L3940" s="66">
        <v>743327</v>
      </c>
      <c r="M3940" t="s">
        <v>2945</v>
      </c>
    </row>
    <row r="3941" spans="12:13">
      <c r="L3941" s="66">
        <v>743328</v>
      </c>
      <c r="M3941" t="s">
        <v>2946</v>
      </c>
    </row>
    <row r="3942" spans="12:13">
      <c r="L3942" s="66">
        <v>743329</v>
      </c>
      <c r="M3942" t="s">
        <v>2947</v>
      </c>
    </row>
    <row r="3943" spans="12:13">
      <c r="L3943" s="66">
        <v>743330</v>
      </c>
      <c r="M3943" t="s">
        <v>2948</v>
      </c>
    </row>
    <row r="3944" spans="12:13">
      <c r="L3944" s="66">
        <v>743331</v>
      </c>
      <c r="M3944" t="s">
        <v>2949</v>
      </c>
    </row>
    <row r="3945" spans="12:13">
      <c r="L3945" s="66">
        <v>743332</v>
      </c>
      <c r="M3945" t="s">
        <v>2950</v>
      </c>
    </row>
    <row r="3946" spans="12:13">
      <c r="L3946" s="66">
        <v>743340</v>
      </c>
      <c r="M3946" t="s">
        <v>2951</v>
      </c>
    </row>
    <row r="3947" spans="12:13">
      <c r="L3947" s="66">
        <v>743341</v>
      </c>
      <c r="M3947" t="s">
        <v>2952</v>
      </c>
    </row>
    <row r="3948" spans="12:13">
      <c r="L3948" s="66">
        <v>743342</v>
      </c>
      <c r="M3948" t="s">
        <v>2953</v>
      </c>
    </row>
    <row r="3949" spans="12:13">
      <c r="L3949" s="66">
        <v>743343</v>
      </c>
      <c r="M3949" t="s">
        <v>2954</v>
      </c>
    </row>
    <row r="3950" spans="12:13">
      <c r="L3950" s="66">
        <v>743350</v>
      </c>
      <c r="M3950" t="s">
        <v>2955</v>
      </c>
    </row>
    <row r="3951" spans="12:13">
      <c r="L3951" s="66">
        <v>743351</v>
      </c>
      <c r="M3951" t="s">
        <v>2956</v>
      </c>
    </row>
    <row r="3952" spans="12:13">
      <c r="L3952" s="66">
        <v>743353</v>
      </c>
      <c r="M3952" t="s">
        <v>2957</v>
      </c>
    </row>
    <row r="3953" spans="12:13">
      <c r="L3953" s="66">
        <v>743354</v>
      </c>
      <c r="M3953" t="s">
        <v>2958</v>
      </c>
    </row>
    <row r="3954" spans="12:13">
      <c r="L3954" s="66">
        <v>743360</v>
      </c>
      <c r="M3954" t="s">
        <v>2959</v>
      </c>
    </row>
    <row r="3955" spans="12:13">
      <c r="L3955" s="66">
        <v>743361</v>
      </c>
      <c r="M3955" t="s">
        <v>2959</v>
      </c>
    </row>
    <row r="3956" spans="12:13">
      <c r="L3956" s="66">
        <v>743400</v>
      </c>
      <c r="M3956" t="s">
        <v>2960</v>
      </c>
    </row>
    <row r="3957" spans="12:13">
      <c r="L3957" s="66">
        <v>743420</v>
      </c>
      <c r="M3957" t="s">
        <v>2961</v>
      </c>
    </row>
    <row r="3958" spans="12:13">
      <c r="L3958" s="66">
        <v>743421</v>
      </c>
      <c r="M3958" t="s">
        <v>2961</v>
      </c>
    </row>
    <row r="3959" spans="12:13">
      <c r="L3959" s="66">
        <v>743422</v>
      </c>
      <c r="M3959" t="s">
        <v>2962</v>
      </c>
    </row>
    <row r="3960" spans="12:13">
      <c r="L3960" s="66">
        <v>743423</v>
      </c>
      <c r="M3960" t="s">
        <v>2963</v>
      </c>
    </row>
    <row r="3961" spans="12:13">
      <c r="L3961" s="66">
        <v>743430</v>
      </c>
      <c r="M3961" t="s">
        <v>2964</v>
      </c>
    </row>
    <row r="3962" spans="12:13">
      <c r="L3962" s="66">
        <v>743431</v>
      </c>
      <c r="M3962" t="s">
        <v>2964</v>
      </c>
    </row>
    <row r="3963" spans="12:13">
      <c r="L3963" s="66">
        <v>743440</v>
      </c>
      <c r="M3963" t="s">
        <v>2965</v>
      </c>
    </row>
    <row r="3964" spans="12:13">
      <c r="L3964" s="66">
        <v>743441</v>
      </c>
      <c r="M3964" t="s">
        <v>2965</v>
      </c>
    </row>
    <row r="3965" spans="12:13">
      <c r="L3965" s="66">
        <v>743450</v>
      </c>
      <c r="M3965" t="s">
        <v>2966</v>
      </c>
    </row>
    <row r="3966" spans="12:13">
      <c r="L3966" s="66">
        <v>743451</v>
      </c>
      <c r="M3966" t="s">
        <v>2966</v>
      </c>
    </row>
    <row r="3967" spans="12:13">
      <c r="L3967" s="66">
        <v>743460</v>
      </c>
      <c r="M3967" t="s">
        <v>2967</v>
      </c>
    </row>
    <row r="3968" spans="12:13">
      <c r="L3968" s="66">
        <v>743461</v>
      </c>
      <c r="M3968" t="s">
        <v>2967</v>
      </c>
    </row>
    <row r="3969" spans="12:13">
      <c r="L3969" s="66">
        <v>743500</v>
      </c>
      <c r="M3969" t="s">
        <v>2968</v>
      </c>
    </row>
    <row r="3970" spans="12:13">
      <c r="L3970" s="66">
        <v>743520</v>
      </c>
      <c r="M3970" t="s">
        <v>2969</v>
      </c>
    </row>
    <row r="3971" spans="12:13">
      <c r="L3971" s="66">
        <v>743521</v>
      </c>
      <c r="M3971" t="s">
        <v>2970</v>
      </c>
    </row>
    <row r="3972" spans="12:13">
      <c r="L3972" s="66">
        <v>743522</v>
      </c>
      <c r="M3972" t="s">
        <v>2971</v>
      </c>
    </row>
    <row r="3973" spans="12:13">
      <c r="L3973" s="66">
        <v>743523</v>
      </c>
      <c r="M3973" t="s">
        <v>2972</v>
      </c>
    </row>
    <row r="3974" spans="12:13">
      <c r="L3974" s="66">
        <v>743524</v>
      </c>
      <c r="M3974" t="s">
        <v>2973</v>
      </c>
    </row>
    <row r="3975" spans="12:13">
      <c r="L3975" s="66">
        <v>743525</v>
      </c>
      <c r="M3975" t="s">
        <v>2974</v>
      </c>
    </row>
    <row r="3976" spans="12:13">
      <c r="L3976" s="66">
        <v>743526</v>
      </c>
      <c r="M3976" t="s">
        <v>2975</v>
      </c>
    </row>
    <row r="3977" spans="12:13">
      <c r="L3977" s="66">
        <v>743530</v>
      </c>
      <c r="M3977" t="s">
        <v>2976</v>
      </c>
    </row>
    <row r="3978" spans="12:13">
      <c r="L3978" s="66">
        <v>743531</v>
      </c>
      <c r="M3978" t="s">
        <v>2976</v>
      </c>
    </row>
    <row r="3979" spans="12:13">
      <c r="L3979" s="66">
        <v>743540</v>
      </c>
      <c r="M3979" t="s">
        <v>2977</v>
      </c>
    </row>
    <row r="3980" spans="12:13">
      <c r="L3980" s="66">
        <v>743541</v>
      </c>
      <c r="M3980" t="s">
        <v>2977</v>
      </c>
    </row>
    <row r="3981" spans="12:13">
      <c r="L3981" s="66">
        <v>743550</v>
      </c>
      <c r="M3981" t="s">
        <v>2978</v>
      </c>
    </row>
    <row r="3982" spans="12:13">
      <c r="L3982" s="66">
        <v>743551</v>
      </c>
      <c r="M3982" t="s">
        <v>2978</v>
      </c>
    </row>
    <row r="3983" spans="12:13">
      <c r="L3983" s="66">
        <v>743560</v>
      </c>
      <c r="M3983" t="s">
        <v>2979</v>
      </c>
    </row>
    <row r="3984" spans="12:13">
      <c r="L3984" s="66">
        <v>743561</v>
      </c>
      <c r="M3984" t="s">
        <v>2979</v>
      </c>
    </row>
    <row r="3985" spans="12:13">
      <c r="L3985" s="66">
        <v>743900</v>
      </c>
      <c r="M3985" t="s">
        <v>2980</v>
      </c>
    </row>
    <row r="3986" spans="12:13">
      <c r="L3986" s="66">
        <v>743920</v>
      </c>
      <c r="M3986" t="s">
        <v>2981</v>
      </c>
    </row>
    <row r="3987" spans="12:13">
      <c r="L3987" s="66">
        <v>743921</v>
      </c>
      <c r="M3987" t="s">
        <v>2982</v>
      </c>
    </row>
    <row r="3988" spans="12:13">
      <c r="L3988" s="66">
        <v>743922</v>
      </c>
      <c r="M3988" t="s">
        <v>2983</v>
      </c>
    </row>
    <row r="3989" spans="12:13">
      <c r="L3989" s="66">
        <v>743923</v>
      </c>
      <c r="M3989" t="s">
        <v>2984</v>
      </c>
    </row>
    <row r="3990" spans="12:13">
      <c r="L3990" s="66">
        <v>743929</v>
      </c>
      <c r="M3990" t="s">
        <v>2981</v>
      </c>
    </row>
    <row r="3991" spans="12:13">
      <c r="L3991" s="66">
        <v>743930</v>
      </c>
      <c r="M3991" t="s">
        <v>2985</v>
      </c>
    </row>
    <row r="3992" spans="12:13">
      <c r="L3992" s="66">
        <v>743931</v>
      </c>
      <c r="M3992" t="s">
        <v>2985</v>
      </c>
    </row>
    <row r="3993" spans="12:13">
      <c r="L3993" s="66">
        <v>743940</v>
      </c>
      <c r="M3993" t="s">
        <v>2986</v>
      </c>
    </row>
    <row r="3994" spans="12:13">
      <c r="L3994" s="66">
        <v>743941</v>
      </c>
      <c r="M3994" t="s">
        <v>2986</v>
      </c>
    </row>
    <row r="3995" spans="12:13">
      <c r="L3995" s="66">
        <v>743950</v>
      </c>
      <c r="M3995" t="s">
        <v>2987</v>
      </c>
    </row>
    <row r="3996" spans="12:13">
      <c r="L3996" s="66">
        <v>743951</v>
      </c>
      <c r="M3996" t="s">
        <v>2988</v>
      </c>
    </row>
    <row r="3997" spans="12:13">
      <c r="L3997" s="66">
        <v>743960</v>
      </c>
      <c r="M3997" t="s">
        <v>2989</v>
      </c>
    </row>
    <row r="3998" spans="12:13">
      <c r="L3998" s="66">
        <v>743961</v>
      </c>
      <c r="M3998" t="s">
        <v>2989</v>
      </c>
    </row>
    <row r="3999" spans="12:13">
      <c r="L3999" s="66">
        <v>744000</v>
      </c>
      <c r="M3999" t="s">
        <v>2991</v>
      </c>
    </row>
    <row r="4000" spans="12:13">
      <c r="L4000" s="66">
        <v>744100</v>
      </c>
      <c r="M4000" t="s">
        <v>2992</v>
      </c>
    </row>
    <row r="4001" spans="12:13">
      <c r="L4001" s="66">
        <v>744120</v>
      </c>
      <c r="M4001" t="s">
        <v>2993</v>
      </c>
    </row>
    <row r="4002" spans="12:13">
      <c r="L4002" s="66">
        <v>744121</v>
      </c>
      <c r="M4002" t="s">
        <v>2993</v>
      </c>
    </row>
    <row r="4003" spans="12:13">
      <c r="L4003" s="66">
        <v>744122</v>
      </c>
      <c r="M4003" t="s">
        <v>2994</v>
      </c>
    </row>
    <row r="4004" spans="12:13">
      <c r="L4004" s="66">
        <v>744130</v>
      </c>
      <c r="M4004" t="s">
        <v>2995</v>
      </c>
    </row>
    <row r="4005" spans="12:13">
      <c r="L4005" s="66">
        <v>744131</v>
      </c>
      <c r="M4005" t="s">
        <v>2996</v>
      </c>
    </row>
    <row r="4006" spans="12:13">
      <c r="L4006" s="66">
        <v>744132</v>
      </c>
      <c r="M4006" t="s">
        <v>2997</v>
      </c>
    </row>
    <row r="4007" spans="12:13">
      <c r="L4007" s="66">
        <v>744140</v>
      </c>
      <c r="M4007" t="s">
        <v>2998</v>
      </c>
    </row>
    <row r="4008" spans="12:13">
      <c r="L4008" s="66">
        <v>744141</v>
      </c>
      <c r="M4008" t="s">
        <v>2998</v>
      </c>
    </row>
    <row r="4009" spans="12:13">
      <c r="L4009" s="66">
        <v>744142</v>
      </c>
      <c r="M4009" t="s">
        <v>3000</v>
      </c>
    </row>
    <row r="4010" spans="12:13">
      <c r="L4010" s="66">
        <v>744150</v>
      </c>
      <c r="M4010" t="s">
        <v>3001</v>
      </c>
    </row>
    <row r="4011" spans="12:13">
      <c r="L4011" s="66">
        <v>744151</v>
      </c>
      <c r="M4011" t="s">
        <v>3001</v>
      </c>
    </row>
    <row r="4012" spans="12:13">
      <c r="L4012" s="66">
        <v>744160</v>
      </c>
      <c r="M4012" t="s">
        <v>3002</v>
      </c>
    </row>
    <row r="4013" spans="12:13">
      <c r="L4013" s="66">
        <v>744161</v>
      </c>
      <c r="M4013" t="s">
        <v>3003</v>
      </c>
    </row>
    <row r="4014" spans="12:13">
      <c r="L4014" s="66">
        <v>744162</v>
      </c>
      <c r="M4014" t="s">
        <v>3004</v>
      </c>
    </row>
    <row r="4015" spans="12:13">
      <c r="L4015" s="66">
        <v>744165</v>
      </c>
      <c r="M4015" t="s">
        <v>3005</v>
      </c>
    </row>
    <row r="4016" spans="12:13">
      <c r="L4016" s="66">
        <v>744200</v>
      </c>
      <c r="M4016" t="s">
        <v>3006</v>
      </c>
    </row>
    <row r="4017" spans="12:13">
      <c r="L4017" s="66">
        <v>744220</v>
      </c>
      <c r="M4017" t="s">
        <v>3007</v>
      </c>
    </row>
    <row r="4018" spans="12:13">
      <c r="L4018" s="66">
        <v>744221</v>
      </c>
      <c r="M4018" t="s">
        <v>3007</v>
      </c>
    </row>
    <row r="4019" spans="12:13">
      <c r="L4019" s="66">
        <v>744230</v>
      </c>
      <c r="M4019" t="s">
        <v>3008</v>
      </c>
    </row>
    <row r="4020" spans="12:13">
      <c r="L4020" s="66">
        <v>744231</v>
      </c>
      <c r="M4020" t="s">
        <v>3009</v>
      </c>
    </row>
    <row r="4021" spans="12:13">
      <c r="L4021" s="66">
        <v>744232</v>
      </c>
      <c r="M4021" t="s">
        <v>3010</v>
      </c>
    </row>
    <row r="4022" spans="12:13">
      <c r="L4022" s="66">
        <v>744240</v>
      </c>
      <c r="M4022" t="s">
        <v>3011</v>
      </c>
    </row>
    <row r="4023" spans="12:13">
      <c r="L4023" s="66">
        <v>744241</v>
      </c>
      <c r="M4023" t="s">
        <v>3011</v>
      </c>
    </row>
    <row r="4024" spans="12:13">
      <c r="L4024" s="66">
        <v>744250</v>
      </c>
      <c r="M4024" t="s">
        <v>3012</v>
      </c>
    </row>
    <row r="4025" spans="12:13">
      <c r="L4025" s="66">
        <v>744251</v>
      </c>
      <c r="M4025" t="s">
        <v>3012</v>
      </c>
    </row>
    <row r="4026" spans="12:13">
      <c r="L4026" s="66">
        <v>744260</v>
      </c>
      <c r="M4026" t="s">
        <v>3013</v>
      </c>
    </row>
    <row r="4027" spans="12:13">
      <c r="L4027" s="66">
        <v>744261</v>
      </c>
      <c r="M4027" t="s">
        <v>3014</v>
      </c>
    </row>
    <row r="4028" spans="12:13">
      <c r="L4028" s="66">
        <v>744262</v>
      </c>
      <c r="M4028" t="s">
        <v>3015</v>
      </c>
    </row>
    <row r="4029" spans="12:13">
      <c r="L4029" s="66">
        <v>744265</v>
      </c>
      <c r="M4029" t="s">
        <v>3016</v>
      </c>
    </row>
    <row r="4030" spans="12:13">
      <c r="L4030" s="66">
        <v>745000</v>
      </c>
      <c r="M4030" t="s">
        <v>3018</v>
      </c>
    </row>
    <row r="4031" spans="12:13">
      <c r="L4031" s="66">
        <v>745100</v>
      </c>
      <c r="M4031" t="s">
        <v>3018</v>
      </c>
    </row>
    <row r="4032" spans="12:13">
      <c r="L4032" s="66">
        <v>745120</v>
      </c>
      <c r="M4032" t="s">
        <v>3019</v>
      </c>
    </row>
    <row r="4033" spans="12:13">
      <c r="L4033" s="66">
        <v>745121</v>
      </c>
      <c r="M4033" t="s">
        <v>3020</v>
      </c>
    </row>
    <row r="4034" spans="12:13">
      <c r="L4034" s="66">
        <v>745122</v>
      </c>
      <c r="M4034" t="s">
        <v>3021</v>
      </c>
    </row>
    <row r="4035" spans="12:13">
      <c r="L4035" s="66">
        <v>745123</v>
      </c>
      <c r="M4035" t="s">
        <v>3022</v>
      </c>
    </row>
    <row r="4036" spans="12:13">
      <c r="L4036" s="66">
        <v>745124</v>
      </c>
      <c r="M4036" t="s">
        <v>3023</v>
      </c>
    </row>
    <row r="4037" spans="12:13">
      <c r="L4037" s="66">
        <v>745125</v>
      </c>
      <c r="M4037" t="s">
        <v>3024</v>
      </c>
    </row>
    <row r="4038" spans="12:13">
      <c r="L4038" s="66">
        <v>745126</v>
      </c>
      <c r="M4038" t="s">
        <v>3025</v>
      </c>
    </row>
    <row r="4039" spans="12:13">
      <c r="L4039" s="66">
        <v>745127</v>
      </c>
      <c r="M4039" t="s">
        <v>3026</v>
      </c>
    </row>
    <row r="4040" spans="12:13">
      <c r="L4040" s="66">
        <v>745128</v>
      </c>
      <c r="M4040" t="s">
        <v>3027</v>
      </c>
    </row>
    <row r="4041" spans="12:13">
      <c r="L4041" s="66">
        <v>745130</v>
      </c>
      <c r="M4041" t="s">
        <v>3028</v>
      </c>
    </row>
    <row r="4042" spans="12:13">
      <c r="L4042" s="66">
        <v>745131</v>
      </c>
      <c r="M4042" t="s">
        <v>3029</v>
      </c>
    </row>
    <row r="4043" spans="12:13">
      <c r="L4043" s="66">
        <v>745132</v>
      </c>
      <c r="M4043" t="s">
        <v>3030</v>
      </c>
    </row>
    <row r="4044" spans="12:13">
      <c r="L4044" s="66">
        <v>745133</v>
      </c>
      <c r="M4044" t="s">
        <v>3031</v>
      </c>
    </row>
    <row r="4045" spans="12:13">
      <c r="L4045" s="66">
        <v>745134</v>
      </c>
      <c r="M4045" t="s">
        <v>3032</v>
      </c>
    </row>
    <row r="4046" spans="12:13">
      <c r="L4046" s="66">
        <v>745135</v>
      </c>
      <c r="M4046" t="s">
        <v>3033</v>
      </c>
    </row>
    <row r="4047" spans="12:13">
      <c r="L4047" s="66">
        <v>745136</v>
      </c>
      <c r="M4047" t="s">
        <v>3034</v>
      </c>
    </row>
    <row r="4048" spans="12:13">
      <c r="L4048" s="66">
        <v>745137</v>
      </c>
      <c r="M4048" t="s">
        <v>3035</v>
      </c>
    </row>
    <row r="4049" spans="12:13">
      <c r="L4049" s="66">
        <v>745138</v>
      </c>
      <c r="M4049" t="s">
        <v>3036</v>
      </c>
    </row>
    <row r="4050" spans="12:13">
      <c r="L4050" s="66">
        <v>745139</v>
      </c>
      <c r="M4050" t="s">
        <v>3037</v>
      </c>
    </row>
    <row r="4051" spans="12:13">
      <c r="L4051" s="66">
        <v>745140</v>
      </c>
      <c r="M4051" t="s">
        <v>3038</v>
      </c>
    </row>
    <row r="4052" spans="12:13">
      <c r="L4052" s="66">
        <v>745141</v>
      </c>
      <c r="M4052" t="s">
        <v>3039</v>
      </c>
    </row>
    <row r="4053" spans="12:13">
      <c r="L4053" s="66">
        <v>745142</v>
      </c>
      <c r="M4053" t="s">
        <v>3041</v>
      </c>
    </row>
    <row r="4054" spans="12:13">
      <c r="L4054" s="66">
        <v>745143</v>
      </c>
      <c r="M4054" t="s">
        <v>3043</v>
      </c>
    </row>
    <row r="4055" spans="12:13">
      <c r="L4055" s="66">
        <v>745144</v>
      </c>
      <c r="M4055" t="s">
        <v>3044</v>
      </c>
    </row>
    <row r="4056" spans="12:13">
      <c r="L4056" s="66">
        <v>745145</v>
      </c>
      <c r="M4056" t="s">
        <v>3045</v>
      </c>
    </row>
    <row r="4057" spans="12:13">
      <c r="L4057" s="66">
        <v>745150</v>
      </c>
      <c r="M4057" t="s">
        <v>3046</v>
      </c>
    </row>
    <row r="4058" spans="12:13">
      <c r="L4058" s="66">
        <v>745151</v>
      </c>
      <c r="M4058" t="s">
        <v>3047</v>
      </c>
    </row>
    <row r="4059" spans="12:13">
      <c r="L4059" s="66">
        <v>745152</v>
      </c>
      <c r="M4059" t="s">
        <v>3048</v>
      </c>
    </row>
    <row r="4060" spans="12:13">
      <c r="L4060" s="66">
        <v>745153</v>
      </c>
      <c r="M4060" t="s">
        <v>3049</v>
      </c>
    </row>
    <row r="4061" spans="12:13">
      <c r="L4061" s="66">
        <v>745154</v>
      </c>
      <c r="M4061" t="s">
        <v>3050</v>
      </c>
    </row>
    <row r="4062" spans="12:13">
      <c r="L4062" s="66">
        <v>745155</v>
      </c>
      <c r="M4062" t="s">
        <v>3045</v>
      </c>
    </row>
    <row r="4063" spans="12:13">
      <c r="L4063" s="66">
        <v>745160</v>
      </c>
      <c r="M4063" t="s">
        <v>3051</v>
      </c>
    </row>
    <row r="4064" spans="12:13">
      <c r="L4064" s="66">
        <v>745161</v>
      </c>
      <c r="M4064" t="s">
        <v>3052</v>
      </c>
    </row>
    <row r="4065" spans="12:13">
      <c r="L4065" s="66">
        <v>745162</v>
      </c>
      <c r="M4065" t="s">
        <v>3053</v>
      </c>
    </row>
    <row r="4066" spans="12:13">
      <c r="L4066" s="66">
        <v>745165</v>
      </c>
      <c r="M4066" t="s">
        <v>3054</v>
      </c>
    </row>
    <row r="4067" spans="12:13">
      <c r="L4067" s="66">
        <v>745166</v>
      </c>
      <c r="M4067" t="s">
        <v>3055</v>
      </c>
    </row>
    <row r="4068" spans="12:13">
      <c r="L4068" s="66">
        <v>770000</v>
      </c>
      <c r="M4068" t="s">
        <v>3057</v>
      </c>
    </row>
    <row r="4069" spans="12:13">
      <c r="L4069" s="66">
        <v>771000</v>
      </c>
      <c r="M4069" t="s">
        <v>3057</v>
      </c>
    </row>
    <row r="4070" spans="12:13">
      <c r="L4070" s="66">
        <v>771100</v>
      </c>
      <c r="M4070" t="s">
        <v>3057</v>
      </c>
    </row>
    <row r="4071" spans="12:13">
      <c r="L4071" s="66">
        <v>771110</v>
      </c>
      <c r="M4071" t="s">
        <v>3057</v>
      </c>
    </row>
    <row r="4072" spans="12:13">
      <c r="L4072" s="66">
        <v>771111</v>
      </c>
      <c r="M4072" t="s">
        <v>3057</v>
      </c>
    </row>
    <row r="4073" spans="12:13">
      <c r="L4073" s="66">
        <v>772000</v>
      </c>
      <c r="M4073" t="s">
        <v>3059</v>
      </c>
    </row>
    <row r="4074" spans="12:13">
      <c r="L4074" s="66">
        <v>772100</v>
      </c>
      <c r="M4074" t="s">
        <v>3059</v>
      </c>
    </row>
    <row r="4075" spans="12:13">
      <c r="L4075" s="66">
        <v>772110</v>
      </c>
      <c r="M4075" t="s">
        <v>3059</v>
      </c>
    </row>
    <row r="4076" spans="12:13">
      <c r="L4076" s="66">
        <v>772111</v>
      </c>
      <c r="M4076" t="s">
        <v>3060</v>
      </c>
    </row>
    <row r="4077" spans="12:13">
      <c r="L4077" s="66">
        <v>772112</v>
      </c>
      <c r="M4077" t="s">
        <v>3061</v>
      </c>
    </row>
    <row r="4078" spans="12:13">
      <c r="L4078" s="66">
        <v>772113</v>
      </c>
      <c r="M4078" t="s">
        <v>3062</v>
      </c>
    </row>
    <row r="4079" spans="12:13">
      <c r="L4079" s="66">
        <v>772114</v>
      </c>
      <c r="M4079" t="s">
        <v>3063</v>
      </c>
    </row>
    <row r="4080" spans="12:13">
      <c r="L4080" s="66">
        <v>780000</v>
      </c>
      <c r="M4080" t="s">
        <v>3064</v>
      </c>
    </row>
    <row r="4081" spans="12:13">
      <c r="L4081" s="66">
        <v>781000</v>
      </c>
      <c r="M4081" t="s">
        <v>3064</v>
      </c>
    </row>
    <row r="4082" spans="12:13">
      <c r="L4082" s="66">
        <v>781100</v>
      </c>
      <c r="M4082" t="s">
        <v>3064</v>
      </c>
    </row>
    <row r="4083" spans="12:13">
      <c r="L4083" s="66">
        <v>781110</v>
      </c>
      <c r="M4083" t="s">
        <v>3064</v>
      </c>
    </row>
    <row r="4084" spans="12:13">
      <c r="L4084" s="66">
        <v>781111</v>
      </c>
      <c r="M4084" t="s">
        <v>3064</v>
      </c>
    </row>
    <row r="4085" spans="12:13">
      <c r="L4085" s="66">
        <v>781112</v>
      </c>
      <c r="M4085" t="s">
        <v>3065</v>
      </c>
    </row>
    <row r="4086" spans="12:13">
      <c r="L4086" s="66">
        <v>781300</v>
      </c>
      <c r="M4086" t="s">
        <v>3066</v>
      </c>
    </row>
    <row r="4087" spans="12:13">
      <c r="L4087" s="66">
        <v>781310</v>
      </c>
      <c r="M4087" t="s">
        <v>3067</v>
      </c>
    </row>
    <row r="4088" spans="12:13">
      <c r="L4088" s="66">
        <v>781311</v>
      </c>
      <c r="M4088" t="s">
        <v>3068</v>
      </c>
    </row>
    <row r="4089" spans="12:13">
      <c r="L4089" s="66">
        <v>781312</v>
      </c>
      <c r="M4089" t="s">
        <v>3069</v>
      </c>
    </row>
    <row r="4090" spans="12:13">
      <c r="L4090" s="66">
        <v>781313</v>
      </c>
      <c r="M4090" t="s">
        <v>3070</v>
      </c>
    </row>
    <row r="4091" spans="12:13">
      <c r="L4091" s="66">
        <v>781314</v>
      </c>
      <c r="M4091" t="s">
        <v>3071</v>
      </c>
    </row>
    <row r="4092" spans="12:13">
      <c r="L4092" s="66">
        <v>781315</v>
      </c>
      <c r="M4092" t="s">
        <v>3072</v>
      </c>
    </row>
    <row r="4093" spans="12:13">
      <c r="L4093" s="66">
        <v>781316</v>
      </c>
      <c r="M4093" t="s">
        <v>3073</v>
      </c>
    </row>
    <row r="4094" spans="12:13">
      <c r="L4094" s="66">
        <v>781317</v>
      </c>
      <c r="M4094" t="s">
        <v>3074</v>
      </c>
    </row>
    <row r="4095" spans="12:13">
      <c r="L4095" s="66">
        <v>781318</v>
      </c>
      <c r="M4095" t="s">
        <v>3075</v>
      </c>
    </row>
    <row r="4096" spans="12:13">
      <c r="L4096" s="66">
        <v>781320</v>
      </c>
      <c r="M4096" t="s">
        <v>3076</v>
      </c>
    </row>
    <row r="4097" spans="12:13">
      <c r="L4097" s="66">
        <v>781321</v>
      </c>
      <c r="M4097" t="s">
        <v>3077</v>
      </c>
    </row>
    <row r="4098" spans="12:13">
      <c r="L4098" s="66">
        <v>781322</v>
      </c>
      <c r="M4098" t="s">
        <v>3078</v>
      </c>
    </row>
    <row r="4099" spans="12:13">
      <c r="L4099" s="66">
        <v>781323</v>
      </c>
      <c r="M4099" t="s">
        <v>3079</v>
      </c>
    </row>
    <row r="4100" spans="12:13">
      <c r="L4100" s="66">
        <v>781324</v>
      </c>
      <c r="M4100" t="s">
        <v>3080</v>
      </c>
    </row>
    <row r="4101" spans="12:13">
      <c r="L4101" s="66">
        <v>781330</v>
      </c>
      <c r="M4101" t="s">
        <v>3081</v>
      </c>
    </row>
    <row r="4102" spans="12:13">
      <c r="L4102" s="66">
        <v>781331</v>
      </c>
      <c r="M4102" t="s">
        <v>3082</v>
      </c>
    </row>
    <row r="4103" spans="12:13">
      <c r="L4103" s="66">
        <v>781340</v>
      </c>
      <c r="M4103" t="s">
        <v>3083</v>
      </c>
    </row>
    <row r="4104" spans="12:13">
      <c r="L4104" s="66">
        <v>781341</v>
      </c>
      <c r="M4104" t="s">
        <v>3084</v>
      </c>
    </row>
    <row r="4105" spans="12:13">
      <c r="L4105" s="66">
        <v>781342</v>
      </c>
      <c r="M4105" t="s">
        <v>3085</v>
      </c>
    </row>
    <row r="4106" spans="12:13">
      <c r="L4106" s="66">
        <v>781350</v>
      </c>
      <c r="M4106" t="s">
        <v>3086</v>
      </c>
    </row>
    <row r="4107" spans="12:13">
      <c r="L4107" s="66">
        <v>781351</v>
      </c>
      <c r="M4107" t="s">
        <v>3086</v>
      </c>
    </row>
    <row r="4108" spans="12:13">
      <c r="L4108" s="66">
        <v>781352</v>
      </c>
      <c r="M4108" t="s">
        <v>3087</v>
      </c>
    </row>
    <row r="4109" spans="12:13">
      <c r="L4109" s="66">
        <v>790000</v>
      </c>
      <c r="M4109" t="s">
        <v>3089</v>
      </c>
    </row>
    <row r="4110" spans="12:13">
      <c r="L4110" s="66">
        <v>791000</v>
      </c>
      <c r="M4110" t="s">
        <v>3089</v>
      </c>
    </row>
    <row r="4111" spans="12:13">
      <c r="L4111" s="66">
        <v>791100</v>
      </c>
      <c r="M4111" t="s">
        <v>3089</v>
      </c>
    </row>
    <row r="4112" spans="12:13">
      <c r="L4112" s="66">
        <v>791110</v>
      </c>
      <c r="M4112" t="s">
        <v>3089</v>
      </c>
    </row>
    <row r="4113" spans="12:13">
      <c r="L4113" s="66">
        <v>791111</v>
      </c>
      <c r="M4113" t="s">
        <v>3089</v>
      </c>
    </row>
    <row r="4114" spans="12:13">
      <c r="L4114" s="66">
        <v>800000</v>
      </c>
      <c r="M4114" t="s">
        <v>3092</v>
      </c>
    </row>
    <row r="4115" spans="12:13">
      <c r="L4115" s="66">
        <v>810000</v>
      </c>
      <c r="M4115" t="s">
        <v>3093</v>
      </c>
    </row>
    <row r="4116" spans="12:13">
      <c r="L4116" s="66">
        <v>811000</v>
      </c>
      <c r="M4116" t="s">
        <v>3094</v>
      </c>
    </row>
    <row r="4117" spans="12:13">
      <c r="L4117" s="66">
        <v>811100</v>
      </c>
      <c r="M4117" t="s">
        <v>3094</v>
      </c>
    </row>
    <row r="4118" spans="12:13">
      <c r="L4118" s="66">
        <v>811120</v>
      </c>
      <c r="M4118" t="s">
        <v>3095</v>
      </c>
    </row>
    <row r="4119" spans="12:13">
      <c r="L4119" s="66">
        <v>811121</v>
      </c>
      <c r="M4119" t="s">
        <v>3096</v>
      </c>
    </row>
    <row r="4120" spans="12:13">
      <c r="L4120" s="66">
        <v>811122</v>
      </c>
      <c r="M4120" t="s">
        <v>3097</v>
      </c>
    </row>
    <row r="4121" spans="12:13">
      <c r="L4121" s="66">
        <v>811123</v>
      </c>
      <c r="M4121" t="s">
        <v>3098</v>
      </c>
    </row>
    <row r="4122" spans="12:13">
      <c r="L4122" s="66">
        <v>811124</v>
      </c>
      <c r="M4122" t="s">
        <v>3099</v>
      </c>
    </row>
    <row r="4123" spans="12:13">
      <c r="L4123" s="66">
        <v>811125</v>
      </c>
      <c r="M4123" t="s">
        <v>3100</v>
      </c>
    </row>
    <row r="4124" spans="12:13">
      <c r="L4124" s="66">
        <v>811130</v>
      </c>
      <c r="M4124" t="s">
        <v>3101</v>
      </c>
    </row>
    <row r="4125" spans="12:13">
      <c r="L4125" s="66">
        <v>811131</v>
      </c>
      <c r="M4125" t="s">
        <v>3102</v>
      </c>
    </row>
    <row r="4126" spans="12:13">
      <c r="L4126" s="66">
        <v>811132</v>
      </c>
      <c r="M4126" t="s">
        <v>3103</v>
      </c>
    </row>
    <row r="4127" spans="12:13">
      <c r="L4127" s="66">
        <v>811133</v>
      </c>
      <c r="M4127" t="s">
        <v>3104</v>
      </c>
    </row>
    <row r="4128" spans="12:13">
      <c r="L4128" s="66">
        <v>811134</v>
      </c>
      <c r="M4128" t="s">
        <v>3105</v>
      </c>
    </row>
    <row r="4129" spans="12:13">
      <c r="L4129" s="66">
        <v>811135</v>
      </c>
      <c r="M4129" t="s">
        <v>3106</v>
      </c>
    </row>
    <row r="4130" spans="12:13">
      <c r="L4130" s="66">
        <v>811140</v>
      </c>
      <c r="M4130" t="s">
        <v>3107</v>
      </c>
    </row>
    <row r="4131" spans="12:13">
      <c r="L4131" s="66">
        <v>811141</v>
      </c>
      <c r="M4131" t="s">
        <v>3107</v>
      </c>
    </row>
    <row r="4132" spans="12:13">
      <c r="L4132" s="66">
        <v>811142</v>
      </c>
      <c r="M4132" t="s">
        <v>3108</v>
      </c>
    </row>
    <row r="4133" spans="12:13">
      <c r="L4133" s="66">
        <v>811143</v>
      </c>
      <c r="M4133" t="s">
        <v>3109</v>
      </c>
    </row>
    <row r="4134" spans="12:13">
      <c r="L4134" s="66">
        <v>811144</v>
      </c>
      <c r="M4134" t="s">
        <v>3110</v>
      </c>
    </row>
    <row r="4135" spans="12:13">
      <c r="L4135" s="66">
        <v>811150</v>
      </c>
      <c r="M4135" t="s">
        <v>3111</v>
      </c>
    </row>
    <row r="4136" spans="12:13">
      <c r="L4136" s="66">
        <v>811151</v>
      </c>
      <c r="M4136" t="s">
        <v>3111</v>
      </c>
    </row>
    <row r="4137" spans="12:13">
      <c r="L4137" s="66">
        <v>811152</v>
      </c>
      <c r="M4137" t="s">
        <v>3112</v>
      </c>
    </row>
    <row r="4138" spans="12:13">
      <c r="L4138" s="66">
        <v>811153</v>
      </c>
      <c r="M4138" t="s">
        <v>3113</v>
      </c>
    </row>
    <row r="4139" spans="12:13">
      <c r="L4139" s="66">
        <v>811154</v>
      </c>
      <c r="M4139" t="s">
        <v>3114</v>
      </c>
    </row>
    <row r="4140" spans="12:13">
      <c r="L4140" s="66">
        <v>811160</v>
      </c>
      <c r="M4140" t="s">
        <v>3115</v>
      </c>
    </row>
    <row r="4141" spans="12:13">
      <c r="L4141" s="66">
        <v>811161</v>
      </c>
      <c r="M4141" t="s">
        <v>3116</v>
      </c>
    </row>
    <row r="4142" spans="12:13">
      <c r="L4142" s="66">
        <v>811162</v>
      </c>
      <c r="M4142" t="s">
        <v>3117</v>
      </c>
    </row>
    <row r="4143" spans="12:13">
      <c r="L4143" s="66">
        <v>811165</v>
      </c>
      <c r="M4143" t="s">
        <v>3118</v>
      </c>
    </row>
    <row r="4144" spans="12:13">
      <c r="L4144" s="66">
        <v>811170</v>
      </c>
      <c r="M4144" t="s">
        <v>3119</v>
      </c>
    </row>
    <row r="4145" spans="12:13">
      <c r="L4145" s="66">
        <v>811171</v>
      </c>
      <c r="M4145" t="s">
        <v>3120</v>
      </c>
    </row>
    <row r="4146" spans="12:13">
      <c r="L4146" s="66">
        <v>811172</v>
      </c>
      <c r="M4146" t="s">
        <v>3121</v>
      </c>
    </row>
    <row r="4147" spans="12:13">
      <c r="L4147" s="66">
        <v>812000</v>
      </c>
      <c r="M4147" t="s">
        <v>3122</v>
      </c>
    </row>
    <row r="4148" spans="12:13">
      <c r="L4148" s="66">
        <v>812100</v>
      </c>
      <c r="M4148" t="s">
        <v>3122</v>
      </c>
    </row>
    <row r="4149" spans="12:13">
      <c r="L4149" s="66">
        <v>812120</v>
      </c>
      <c r="M4149" t="s">
        <v>3123</v>
      </c>
    </row>
    <row r="4150" spans="12:13">
      <c r="L4150" s="66">
        <v>812121</v>
      </c>
      <c r="M4150" t="s">
        <v>3123</v>
      </c>
    </row>
    <row r="4151" spans="12:13">
      <c r="L4151" s="66">
        <v>812130</v>
      </c>
      <c r="M4151" t="s">
        <v>3124</v>
      </c>
    </row>
    <row r="4152" spans="12:13">
      <c r="L4152" s="66">
        <v>812131</v>
      </c>
      <c r="M4152" t="s">
        <v>3125</v>
      </c>
    </row>
    <row r="4153" spans="12:13">
      <c r="L4153" s="66">
        <v>812132</v>
      </c>
      <c r="M4153" t="s">
        <v>3126</v>
      </c>
    </row>
    <row r="4154" spans="12:13">
      <c r="L4154" s="66">
        <v>812140</v>
      </c>
      <c r="M4154" t="s">
        <v>3127</v>
      </c>
    </row>
    <row r="4155" spans="12:13">
      <c r="L4155" s="66">
        <v>812141</v>
      </c>
      <c r="M4155" t="s">
        <v>3127</v>
      </c>
    </row>
    <row r="4156" spans="12:13">
      <c r="L4156" s="66">
        <v>812150</v>
      </c>
      <c r="M4156" t="s">
        <v>3128</v>
      </c>
    </row>
    <row r="4157" spans="12:13">
      <c r="L4157" s="66">
        <v>812151</v>
      </c>
      <c r="M4157" t="s">
        <v>3128</v>
      </c>
    </row>
    <row r="4158" spans="12:13">
      <c r="L4158" s="66">
        <v>812160</v>
      </c>
      <c r="M4158" t="s">
        <v>3129</v>
      </c>
    </row>
    <row r="4159" spans="12:13">
      <c r="L4159" s="66">
        <v>812161</v>
      </c>
      <c r="M4159" t="s">
        <v>3130</v>
      </c>
    </row>
    <row r="4160" spans="12:13">
      <c r="L4160" s="66">
        <v>812162</v>
      </c>
      <c r="M4160" t="s">
        <v>3131</v>
      </c>
    </row>
    <row r="4161" spans="12:13">
      <c r="L4161" s="66">
        <v>812165</v>
      </c>
      <c r="M4161" t="s">
        <v>3132</v>
      </c>
    </row>
    <row r="4162" spans="12:13">
      <c r="L4162" s="66">
        <v>813000</v>
      </c>
      <c r="M4162" t="s">
        <v>3133</v>
      </c>
    </row>
    <row r="4163" spans="12:13">
      <c r="L4163" s="66">
        <v>813100</v>
      </c>
      <c r="M4163" t="s">
        <v>3133</v>
      </c>
    </row>
    <row r="4164" spans="12:13">
      <c r="L4164" s="66">
        <v>813120</v>
      </c>
      <c r="M4164" t="s">
        <v>3134</v>
      </c>
    </row>
    <row r="4165" spans="12:13">
      <c r="L4165" s="66">
        <v>813121</v>
      </c>
      <c r="M4165" t="s">
        <v>3134</v>
      </c>
    </row>
    <row r="4166" spans="12:13">
      <c r="L4166" s="66">
        <v>813130</v>
      </c>
      <c r="M4166" t="s">
        <v>3135</v>
      </c>
    </row>
    <row r="4167" spans="12:13">
      <c r="L4167" s="66">
        <v>813131</v>
      </c>
      <c r="M4167" t="s">
        <v>3136</v>
      </c>
    </row>
    <row r="4168" spans="12:13">
      <c r="L4168" s="66">
        <v>813132</v>
      </c>
      <c r="M4168" t="s">
        <v>3137</v>
      </c>
    </row>
    <row r="4169" spans="12:13">
      <c r="L4169" s="66">
        <v>813140</v>
      </c>
      <c r="M4169" t="s">
        <v>3138</v>
      </c>
    </row>
    <row r="4170" spans="12:13">
      <c r="L4170" s="66">
        <v>813141</v>
      </c>
      <c r="M4170" t="s">
        <v>3138</v>
      </c>
    </row>
    <row r="4171" spans="12:13">
      <c r="L4171" s="66">
        <v>813150</v>
      </c>
      <c r="M4171" t="s">
        <v>3139</v>
      </c>
    </row>
    <row r="4172" spans="12:13">
      <c r="L4172" s="66">
        <v>813151</v>
      </c>
      <c r="M4172" t="s">
        <v>3139</v>
      </c>
    </row>
    <row r="4173" spans="12:13">
      <c r="L4173" s="66">
        <v>813160</v>
      </c>
      <c r="M4173" t="s">
        <v>3140</v>
      </c>
    </row>
    <row r="4174" spans="12:13">
      <c r="L4174" s="66">
        <v>813161</v>
      </c>
      <c r="M4174" t="s">
        <v>3141</v>
      </c>
    </row>
    <row r="4175" spans="12:13">
      <c r="L4175" s="66">
        <v>813162</v>
      </c>
      <c r="M4175" t="s">
        <v>3142</v>
      </c>
    </row>
    <row r="4176" spans="12:13">
      <c r="L4176" s="66">
        <v>813165</v>
      </c>
      <c r="M4176" t="s">
        <v>3143</v>
      </c>
    </row>
    <row r="4177" spans="12:13">
      <c r="L4177" s="66">
        <v>820000</v>
      </c>
      <c r="M4177" t="s">
        <v>3144</v>
      </c>
    </row>
    <row r="4178" spans="12:13">
      <c r="L4178" s="66">
        <v>821000</v>
      </c>
      <c r="M4178" t="s">
        <v>3145</v>
      </c>
    </row>
    <row r="4179" spans="12:13">
      <c r="L4179" s="66">
        <v>821100</v>
      </c>
      <c r="M4179" t="s">
        <v>3145</v>
      </c>
    </row>
    <row r="4180" spans="12:13">
      <c r="L4180" s="66">
        <v>821120</v>
      </c>
      <c r="M4180" t="s">
        <v>3146</v>
      </c>
    </row>
    <row r="4181" spans="12:13">
      <c r="L4181" s="66">
        <v>821121</v>
      </c>
      <c r="M4181" t="s">
        <v>3146</v>
      </c>
    </row>
    <row r="4182" spans="12:13">
      <c r="L4182" s="66">
        <v>821130</v>
      </c>
      <c r="M4182" t="s">
        <v>3147</v>
      </c>
    </row>
    <row r="4183" spans="12:13">
      <c r="L4183" s="66">
        <v>821131</v>
      </c>
      <c r="M4183" t="s">
        <v>3148</v>
      </c>
    </row>
    <row r="4184" spans="12:13">
      <c r="L4184" s="66">
        <v>821132</v>
      </c>
      <c r="M4184" t="s">
        <v>3149</v>
      </c>
    </row>
    <row r="4185" spans="12:13">
      <c r="L4185" s="66">
        <v>821140</v>
      </c>
      <c r="M4185" t="s">
        <v>3150</v>
      </c>
    </row>
    <row r="4186" spans="12:13">
      <c r="L4186" s="66">
        <v>821141</v>
      </c>
      <c r="M4186" t="s">
        <v>3150</v>
      </c>
    </row>
    <row r="4187" spans="12:13">
      <c r="L4187" s="66">
        <v>821150</v>
      </c>
      <c r="M4187" t="s">
        <v>3151</v>
      </c>
    </row>
    <row r="4188" spans="12:13">
      <c r="L4188" s="66">
        <v>821151</v>
      </c>
      <c r="M4188" t="s">
        <v>3151</v>
      </c>
    </row>
    <row r="4189" spans="12:13">
      <c r="L4189" s="66">
        <v>821160</v>
      </c>
      <c r="M4189" t="s">
        <v>3152</v>
      </c>
    </row>
    <row r="4190" spans="12:13">
      <c r="L4190" s="66">
        <v>821161</v>
      </c>
      <c r="M4190" t="s">
        <v>3153</v>
      </c>
    </row>
    <row r="4191" spans="12:13">
      <c r="L4191" s="66">
        <v>821162</v>
      </c>
      <c r="M4191" t="s">
        <v>3154</v>
      </c>
    </row>
    <row r="4192" spans="12:13">
      <c r="L4192" s="66">
        <v>821165</v>
      </c>
      <c r="M4192" t="s">
        <v>3155</v>
      </c>
    </row>
    <row r="4193" spans="12:13">
      <c r="L4193" s="66">
        <v>822000</v>
      </c>
      <c r="M4193" t="s">
        <v>3156</v>
      </c>
    </row>
    <row r="4194" spans="12:13">
      <c r="L4194" s="66">
        <v>822100</v>
      </c>
      <c r="M4194" t="s">
        <v>3156</v>
      </c>
    </row>
    <row r="4195" spans="12:13">
      <c r="L4195" s="66">
        <v>822120</v>
      </c>
      <c r="M4195" t="s">
        <v>3157</v>
      </c>
    </row>
    <row r="4196" spans="12:13">
      <c r="L4196" s="66">
        <v>822121</v>
      </c>
      <c r="M4196" t="s">
        <v>3157</v>
      </c>
    </row>
    <row r="4197" spans="12:13">
      <c r="L4197" s="66">
        <v>822130</v>
      </c>
      <c r="M4197" t="s">
        <v>3158</v>
      </c>
    </row>
    <row r="4198" spans="12:13">
      <c r="L4198" s="66">
        <v>822131</v>
      </c>
      <c r="M4198" t="s">
        <v>3159</v>
      </c>
    </row>
    <row r="4199" spans="12:13">
      <c r="L4199" s="66">
        <v>822132</v>
      </c>
      <c r="M4199" t="s">
        <v>3160</v>
      </c>
    </row>
    <row r="4200" spans="12:13">
      <c r="L4200" s="66">
        <v>822140</v>
      </c>
      <c r="M4200" t="s">
        <v>3161</v>
      </c>
    </row>
    <row r="4201" spans="12:13">
      <c r="L4201" s="66">
        <v>822141</v>
      </c>
      <c r="M4201" t="s">
        <v>3161</v>
      </c>
    </row>
    <row r="4202" spans="12:13">
      <c r="L4202" s="66">
        <v>822150</v>
      </c>
      <c r="M4202" t="s">
        <v>3162</v>
      </c>
    </row>
    <row r="4203" spans="12:13">
      <c r="L4203" s="66">
        <v>822151</v>
      </c>
      <c r="M4203" t="s">
        <v>3162</v>
      </c>
    </row>
    <row r="4204" spans="12:13">
      <c r="L4204" s="66">
        <v>822160</v>
      </c>
      <c r="M4204" t="s">
        <v>3163</v>
      </c>
    </row>
    <row r="4205" spans="12:13">
      <c r="L4205" s="66">
        <v>822161</v>
      </c>
      <c r="M4205" t="s">
        <v>3164</v>
      </c>
    </row>
    <row r="4206" spans="12:13">
      <c r="L4206" s="66">
        <v>822162</v>
      </c>
      <c r="M4206" t="s">
        <v>3165</v>
      </c>
    </row>
    <row r="4207" spans="12:13">
      <c r="L4207" s="66">
        <v>822165</v>
      </c>
      <c r="M4207" t="s">
        <v>3166</v>
      </c>
    </row>
    <row r="4208" spans="12:13">
      <c r="L4208" s="66">
        <v>823000</v>
      </c>
      <c r="M4208" t="s">
        <v>3167</v>
      </c>
    </row>
    <row r="4209" spans="12:13">
      <c r="L4209" s="66">
        <v>823100</v>
      </c>
      <c r="M4209" t="s">
        <v>3167</v>
      </c>
    </row>
    <row r="4210" spans="12:13">
      <c r="L4210" s="66">
        <v>823120</v>
      </c>
      <c r="M4210" t="s">
        <v>3168</v>
      </c>
    </row>
    <row r="4211" spans="12:13">
      <c r="L4211" s="66">
        <v>823121</v>
      </c>
      <c r="M4211" t="s">
        <v>3168</v>
      </c>
    </row>
    <row r="4212" spans="12:13">
      <c r="L4212" s="66">
        <v>823130</v>
      </c>
      <c r="M4212" t="s">
        <v>3169</v>
      </c>
    </row>
    <row r="4213" spans="12:13">
      <c r="L4213" s="66">
        <v>823131</v>
      </c>
      <c r="M4213" t="s">
        <v>3170</v>
      </c>
    </row>
    <row r="4214" spans="12:13">
      <c r="L4214" s="66">
        <v>823132</v>
      </c>
      <c r="M4214" t="s">
        <v>3171</v>
      </c>
    </row>
    <row r="4215" spans="12:13">
      <c r="L4215" s="66">
        <v>823140</v>
      </c>
      <c r="M4215" t="s">
        <v>3172</v>
      </c>
    </row>
    <row r="4216" spans="12:13">
      <c r="L4216" s="66">
        <v>823141</v>
      </c>
      <c r="M4216" t="s">
        <v>3172</v>
      </c>
    </row>
    <row r="4217" spans="12:13">
      <c r="L4217" s="66">
        <v>823150</v>
      </c>
      <c r="M4217" t="s">
        <v>3173</v>
      </c>
    </row>
    <row r="4218" spans="12:13">
      <c r="L4218" s="66">
        <v>823151</v>
      </c>
      <c r="M4218" t="s">
        <v>3173</v>
      </c>
    </row>
    <row r="4219" spans="12:13">
      <c r="L4219" s="66">
        <v>823160</v>
      </c>
      <c r="M4219" t="s">
        <v>3174</v>
      </c>
    </row>
    <row r="4220" spans="12:13">
      <c r="L4220" s="66">
        <v>823161</v>
      </c>
      <c r="M4220" t="s">
        <v>3175</v>
      </c>
    </row>
    <row r="4221" spans="12:13">
      <c r="L4221" s="66">
        <v>823162</v>
      </c>
      <c r="M4221" t="s">
        <v>3176</v>
      </c>
    </row>
    <row r="4222" spans="12:13">
      <c r="L4222" s="66">
        <v>823165</v>
      </c>
      <c r="M4222" t="s">
        <v>3177</v>
      </c>
    </row>
    <row r="4223" spans="12:13">
      <c r="L4223" s="66">
        <v>830000</v>
      </c>
      <c r="M4223" t="s">
        <v>3178</v>
      </c>
    </row>
    <row r="4224" spans="12:13">
      <c r="L4224" s="66">
        <v>831000</v>
      </c>
      <c r="M4224" t="s">
        <v>3178</v>
      </c>
    </row>
    <row r="4225" spans="12:13">
      <c r="L4225" s="66">
        <v>831100</v>
      </c>
      <c r="M4225" t="s">
        <v>3178</v>
      </c>
    </row>
    <row r="4226" spans="12:13">
      <c r="L4226" s="66">
        <v>831120</v>
      </c>
      <c r="M4226" t="s">
        <v>3179</v>
      </c>
    </row>
    <row r="4227" spans="12:13">
      <c r="L4227" s="66">
        <v>831121</v>
      </c>
      <c r="M4227" t="s">
        <v>3179</v>
      </c>
    </row>
    <row r="4228" spans="12:13">
      <c r="L4228" s="66">
        <v>831130</v>
      </c>
      <c r="M4228" t="s">
        <v>3180</v>
      </c>
    </row>
    <row r="4229" spans="12:13">
      <c r="L4229" s="66">
        <v>831131</v>
      </c>
      <c r="M4229" t="s">
        <v>3181</v>
      </c>
    </row>
    <row r="4230" spans="12:13">
      <c r="L4230" s="66">
        <v>831132</v>
      </c>
      <c r="M4230" t="s">
        <v>3182</v>
      </c>
    </row>
    <row r="4231" spans="12:13">
      <c r="L4231" s="66">
        <v>831140</v>
      </c>
      <c r="M4231" t="s">
        <v>3183</v>
      </c>
    </row>
    <row r="4232" spans="12:13">
      <c r="L4232" s="66">
        <v>831141</v>
      </c>
      <c r="M4232" t="s">
        <v>3183</v>
      </c>
    </row>
    <row r="4233" spans="12:13">
      <c r="L4233" s="66">
        <v>831150</v>
      </c>
      <c r="M4233" t="s">
        <v>3184</v>
      </c>
    </row>
    <row r="4234" spans="12:13">
      <c r="L4234" s="66">
        <v>831151</v>
      </c>
      <c r="M4234" t="s">
        <v>3184</v>
      </c>
    </row>
    <row r="4235" spans="12:13">
      <c r="L4235" s="66">
        <v>831160</v>
      </c>
      <c r="M4235" t="s">
        <v>3185</v>
      </c>
    </row>
    <row r="4236" spans="12:13">
      <c r="L4236" s="66">
        <v>831161</v>
      </c>
      <c r="M4236" t="s">
        <v>3186</v>
      </c>
    </row>
    <row r="4237" spans="12:13">
      <c r="L4237" s="66">
        <v>831162</v>
      </c>
      <c r="M4237" t="s">
        <v>3187</v>
      </c>
    </row>
    <row r="4238" spans="12:13">
      <c r="L4238" s="66">
        <v>831165</v>
      </c>
      <c r="M4238" t="s">
        <v>3188</v>
      </c>
    </row>
    <row r="4239" spans="12:13">
      <c r="L4239" s="66">
        <v>840000</v>
      </c>
      <c r="M4239" t="s">
        <v>3189</v>
      </c>
    </row>
    <row r="4240" spans="12:13">
      <c r="L4240" s="66">
        <v>841000</v>
      </c>
      <c r="M4240" t="s">
        <v>3190</v>
      </c>
    </row>
    <row r="4241" spans="12:13">
      <c r="L4241" s="66">
        <v>841100</v>
      </c>
      <c r="M4241" t="s">
        <v>3190</v>
      </c>
    </row>
    <row r="4242" spans="12:13">
      <c r="L4242" s="66">
        <v>841120</v>
      </c>
      <c r="M4242" t="s">
        <v>3191</v>
      </c>
    </row>
    <row r="4243" spans="12:13">
      <c r="L4243" s="66">
        <v>841121</v>
      </c>
      <c r="M4243" t="s">
        <v>3191</v>
      </c>
    </row>
    <row r="4244" spans="12:13">
      <c r="L4244" s="66">
        <v>841130</v>
      </c>
      <c r="M4244" t="s">
        <v>3192</v>
      </c>
    </row>
    <row r="4245" spans="12:13">
      <c r="L4245" s="66">
        <v>841131</v>
      </c>
      <c r="M4245" t="s">
        <v>3192</v>
      </c>
    </row>
    <row r="4246" spans="12:13">
      <c r="L4246" s="66">
        <v>841140</v>
      </c>
      <c r="M4246" t="s">
        <v>3193</v>
      </c>
    </row>
    <row r="4247" spans="12:13">
      <c r="L4247" s="66">
        <v>841141</v>
      </c>
      <c r="M4247" t="s">
        <v>3193</v>
      </c>
    </row>
    <row r="4248" spans="12:13">
      <c r="L4248" s="66">
        <v>841150</v>
      </c>
      <c r="M4248" t="s">
        <v>3194</v>
      </c>
    </row>
    <row r="4249" spans="12:13">
      <c r="L4249" s="66">
        <v>841151</v>
      </c>
      <c r="M4249" t="s">
        <v>3194</v>
      </c>
    </row>
    <row r="4250" spans="12:13">
      <c r="L4250" s="66">
        <v>841160</v>
      </c>
      <c r="M4250" t="s">
        <v>3195</v>
      </c>
    </row>
    <row r="4251" spans="12:13">
      <c r="L4251" s="66">
        <v>841161</v>
      </c>
      <c r="M4251" t="s">
        <v>3196</v>
      </c>
    </row>
    <row r="4252" spans="12:13">
      <c r="L4252" s="66">
        <v>841162</v>
      </c>
      <c r="M4252" t="s">
        <v>3197</v>
      </c>
    </row>
    <row r="4253" spans="12:13">
      <c r="L4253" s="66">
        <v>841165</v>
      </c>
      <c r="M4253" t="s">
        <v>3198</v>
      </c>
    </row>
    <row r="4254" spans="12:13">
      <c r="L4254" s="66">
        <v>842000</v>
      </c>
      <c r="M4254" t="s">
        <v>3199</v>
      </c>
    </row>
    <row r="4255" spans="12:13">
      <c r="L4255" s="66">
        <v>842100</v>
      </c>
      <c r="M4255" t="s">
        <v>3199</v>
      </c>
    </row>
    <row r="4256" spans="12:13">
      <c r="L4256" s="66">
        <v>842120</v>
      </c>
      <c r="M4256" t="s">
        <v>3200</v>
      </c>
    </row>
    <row r="4257" spans="12:13">
      <c r="L4257" s="66">
        <v>842121</v>
      </c>
      <c r="M4257" t="s">
        <v>3200</v>
      </c>
    </row>
    <row r="4258" spans="12:13">
      <c r="L4258" s="66">
        <v>842130</v>
      </c>
      <c r="M4258" t="s">
        <v>3201</v>
      </c>
    </row>
    <row r="4259" spans="12:13">
      <c r="L4259" s="66">
        <v>842131</v>
      </c>
      <c r="M4259" t="s">
        <v>3201</v>
      </c>
    </row>
    <row r="4260" spans="12:13">
      <c r="L4260" s="66">
        <v>842140</v>
      </c>
      <c r="M4260" t="s">
        <v>3202</v>
      </c>
    </row>
    <row r="4261" spans="12:13">
      <c r="L4261" s="66">
        <v>842141</v>
      </c>
      <c r="M4261" t="s">
        <v>3202</v>
      </c>
    </row>
    <row r="4262" spans="12:13">
      <c r="L4262" s="66">
        <v>842150</v>
      </c>
      <c r="M4262" t="s">
        <v>3203</v>
      </c>
    </row>
    <row r="4263" spans="12:13">
      <c r="L4263" s="66">
        <v>842151</v>
      </c>
      <c r="M4263" t="s">
        <v>3203</v>
      </c>
    </row>
    <row r="4264" spans="12:13">
      <c r="L4264" s="66">
        <v>842160</v>
      </c>
      <c r="M4264" t="s">
        <v>3204</v>
      </c>
    </row>
    <row r="4265" spans="12:13">
      <c r="L4265" s="66">
        <v>842161</v>
      </c>
      <c r="M4265" t="s">
        <v>3205</v>
      </c>
    </row>
    <row r="4266" spans="12:13">
      <c r="L4266" s="66">
        <v>842162</v>
      </c>
      <c r="M4266" t="s">
        <v>3206</v>
      </c>
    </row>
    <row r="4267" spans="12:13">
      <c r="L4267" s="66">
        <v>842165</v>
      </c>
      <c r="M4267" t="s">
        <v>3207</v>
      </c>
    </row>
    <row r="4268" spans="12:13">
      <c r="L4268" s="66">
        <v>843000</v>
      </c>
      <c r="M4268" t="s">
        <v>3208</v>
      </c>
    </row>
    <row r="4269" spans="12:13">
      <c r="L4269" s="66">
        <v>843100</v>
      </c>
      <c r="M4269" t="s">
        <v>3208</v>
      </c>
    </row>
    <row r="4270" spans="12:13">
      <c r="L4270" s="66">
        <v>843120</v>
      </c>
      <c r="M4270" t="s">
        <v>3209</v>
      </c>
    </row>
    <row r="4271" spans="12:13">
      <c r="L4271" s="66">
        <v>843121</v>
      </c>
      <c r="M4271" t="s">
        <v>3209</v>
      </c>
    </row>
    <row r="4272" spans="12:13">
      <c r="L4272" s="66">
        <v>843130</v>
      </c>
      <c r="M4272" t="s">
        <v>3210</v>
      </c>
    </row>
    <row r="4273" spans="12:13">
      <c r="L4273" s="66">
        <v>843131</v>
      </c>
      <c r="M4273" t="s">
        <v>3210</v>
      </c>
    </row>
    <row r="4274" spans="12:13">
      <c r="L4274" s="66">
        <v>843140</v>
      </c>
      <c r="M4274" t="s">
        <v>3211</v>
      </c>
    </row>
    <row r="4275" spans="12:13">
      <c r="L4275" s="66">
        <v>843141</v>
      </c>
      <c r="M4275" t="s">
        <v>3211</v>
      </c>
    </row>
    <row r="4276" spans="12:13">
      <c r="L4276" s="66">
        <v>843150</v>
      </c>
      <c r="M4276" t="s">
        <v>3212</v>
      </c>
    </row>
    <row r="4277" spans="12:13">
      <c r="L4277" s="66">
        <v>843151</v>
      </c>
      <c r="M4277" t="s">
        <v>3212</v>
      </c>
    </row>
    <row r="4278" spans="12:13">
      <c r="L4278" s="66">
        <v>843160</v>
      </c>
      <c r="M4278" t="s">
        <v>3213</v>
      </c>
    </row>
    <row r="4279" spans="12:13">
      <c r="L4279" s="66">
        <v>843161</v>
      </c>
      <c r="M4279" t="s">
        <v>3214</v>
      </c>
    </row>
    <row r="4280" spans="12:13">
      <c r="L4280" s="66">
        <v>843162</v>
      </c>
      <c r="M4280" t="s">
        <v>3215</v>
      </c>
    </row>
    <row r="4281" spans="12:13">
      <c r="L4281" s="66">
        <v>843165</v>
      </c>
      <c r="M4281" t="s">
        <v>3216</v>
      </c>
    </row>
    <row r="4282" spans="12:13">
      <c r="L4282" s="66">
        <v>900000</v>
      </c>
      <c r="M4282" t="s">
        <v>3218</v>
      </c>
    </row>
    <row r="4283" spans="12:13">
      <c r="L4283" s="66">
        <v>910000</v>
      </c>
      <c r="M4283" t="s">
        <v>3220</v>
      </c>
    </row>
    <row r="4284" spans="12:13">
      <c r="L4284" s="66">
        <v>911000</v>
      </c>
      <c r="M4284" t="s">
        <v>3221</v>
      </c>
    </row>
    <row r="4285" spans="12:13">
      <c r="L4285" s="66">
        <v>911100</v>
      </c>
      <c r="M4285" t="s">
        <v>3222</v>
      </c>
    </row>
    <row r="4286" spans="12:13">
      <c r="L4286" s="66">
        <v>911120</v>
      </c>
      <c r="M4286" t="s">
        <v>3223</v>
      </c>
    </row>
    <row r="4287" spans="12:13">
      <c r="L4287" s="66">
        <v>911121</v>
      </c>
      <c r="M4287" t="s">
        <v>3223</v>
      </c>
    </row>
    <row r="4288" spans="12:13">
      <c r="L4288" s="66">
        <v>911130</v>
      </c>
      <c r="M4288" t="s">
        <v>3224</v>
      </c>
    </row>
    <row r="4289" spans="12:13">
      <c r="L4289" s="66">
        <v>911131</v>
      </c>
      <c r="M4289" t="s">
        <v>3225</v>
      </c>
    </row>
    <row r="4290" spans="12:13">
      <c r="L4290" s="66">
        <v>911132</v>
      </c>
      <c r="M4290" t="s">
        <v>3226</v>
      </c>
    </row>
    <row r="4291" spans="12:13">
      <c r="L4291" s="66">
        <v>911140</v>
      </c>
      <c r="M4291" t="s">
        <v>3227</v>
      </c>
    </row>
    <row r="4292" spans="12:13">
      <c r="L4292" s="66">
        <v>911141</v>
      </c>
      <c r="M4292" t="s">
        <v>3227</v>
      </c>
    </row>
    <row r="4293" spans="12:13">
      <c r="L4293" s="66">
        <v>911150</v>
      </c>
      <c r="M4293" t="s">
        <v>3228</v>
      </c>
    </row>
    <row r="4294" spans="12:13">
      <c r="L4294" s="66">
        <v>911151</v>
      </c>
      <c r="M4294" t="s">
        <v>3228</v>
      </c>
    </row>
    <row r="4295" spans="12:13">
      <c r="L4295" s="66">
        <v>911160</v>
      </c>
      <c r="M4295" t="s">
        <v>3229</v>
      </c>
    </row>
    <row r="4296" spans="12:13">
      <c r="L4296" s="66">
        <v>911161</v>
      </c>
      <c r="M4296" t="s">
        <v>3230</v>
      </c>
    </row>
    <row r="4297" spans="12:13">
      <c r="L4297" s="66">
        <v>911162</v>
      </c>
      <c r="M4297" t="s">
        <v>3231</v>
      </c>
    </row>
    <row r="4298" spans="12:13">
      <c r="L4298" s="66">
        <v>911165</v>
      </c>
      <c r="M4298" t="s">
        <v>3232</v>
      </c>
    </row>
    <row r="4299" spans="12:13">
      <c r="L4299" s="66">
        <v>911200</v>
      </c>
      <c r="M4299" t="s">
        <v>3233</v>
      </c>
    </row>
    <row r="4300" spans="12:13">
      <c r="L4300" s="66">
        <v>911220</v>
      </c>
      <c r="M4300" t="s">
        <v>3234</v>
      </c>
    </row>
    <row r="4301" spans="12:13">
      <c r="L4301" s="66">
        <v>911221</v>
      </c>
      <c r="M4301" t="s">
        <v>3234</v>
      </c>
    </row>
    <row r="4302" spans="12:13">
      <c r="L4302" s="66">
        <v>911230</v>
      </c>
      <c r="M4302" t="s">
        <v>3235</v>
      </c>
    </row>
    <row r="4303" spans="12:13">
      <c r="L4303" s="66">
        <v>911231</v>
      </c>
      <c r="M4303" t="s">
        <v>3236</v>
      </c>
    </row>
    <row r="4304" spans="12:13">
      <c r="L4304" s="66">
        <v>911232</v>
      </c>
      <c r="M4304" t="s">
        <v>3237</v>
      </c>
    </row>
    <row r="4305" spans="12:13">
      <c r="L4305" s="66">
        <v>911240</v>
      </c>
      <c r="M4305" t="s">
        <v>3238</v>
      </c>
    </row>
    <row r="4306" spans="12:13">
      <c r="L4306" s="66">
        <v>911241</v>
      </c>
      <c r="M4306" t="s">
        <v>3238</v>
      </c>
    </row>
    <row r="4307" spans="12:13">
      <c r="L4307" s="66">
        <v>911250</v>
      </c>
      <c r="M4307" t="s">
        <v>3239</v>
      </c>
    </row>
    <row r="4308" spans="12:13">
      <c r="L4308" s="66">
        <v>911251</v>
      </c>
      <c r="M4308" t="s">
        <v>3239</v>
      </c>
    </row>
    <row r="4309" spans="12:13">
      <c r="L4309" s="66">
        <v>911260</v>
      </c>
      <c r="M4309" t="s">
        <v>3240</v>
      </c>
    </row>
    <row r="4310" spans="12:13">
      <c r="L4310" s="66">
        <v>911261</v>
      </c>
      <c r="M4310" t="s">
        <v>3241</v>
      </c>
    </row>
    <row r="4311" spans="12:13">
      <c r="L4311" s="66">
        <v>911262</v>
      </c>
      <c r="M4311" t="s">
        <v>3242</v>
      </c>
    </row>
    <row r="4312" spans="12:13">
      <c r="L4312" s="66">
        <v>911265</v>
      </c>
      <c r="M4312" t="s">
        <v>3243</v>
      </c>
    </row>
    <row r="4313" spans="12:13">
      <c r="L4313" s="66">
        <v>911300</v>
      </c>
      <c r="M4313" t="s">
        <v>3244</v>
      </c>
    </row>
    <row r="4314" spans="12:13">
      <c r="L4314" s="66">
        <v>911320</v>
      </c>
      <c r="M4314" t="s">
        <v>3245</v>
      </c>
    </row>
    <row r="4315" spans="12:13">
      <c r="L4315" s="66">
        <v>911321</v>
      </c>
      <c r="M4315" t="s">
        <v>3245</v>
      </c>
    </row>
    <row r="4316" spans="12:13">
      <c r="L4316" s="66">
        <v>911330</v>
      </c>
      <c r="M4316" t="s">
        <v>3246</v>
      </c>
    </row>
    <row r="4317" spans="12:13">
      <c r="L4317" s="66">
        <v>911331</v>
      </c>
      <c r="M4317" t="s">
        <v>3246</v>
      </c>
    </row>
    <row r="4318" spans="12:13">
      <c r="L4318" s="66">
        <v>911340</v>
      </c>
      <c r="M4318" t="s">
        <v>3247</v>
      </c>
    </row>
    <row r="4319" spans="12:13">
      <c r="L4319" s="66">
        <v>911341</v>
      </c>
      <c r="M4319" t="s">
        <v>3247</v>
      </c>
    </row>
    <row r="4320" spans="12:13">
      <c r="L4320" s="66">
        <v>911350</v>
      </c>
      <c r="M4320" t="s">
        <v>3248</v>
      </c>
    </row>
    <row r="4321" spans="12:13">
      <c r="L4321" s="66">
        <v>911351</v>
      </c>
      <c r="M4321" t="s">
        <v>3248</v>
      </c>
    </row>
    <row r="4322" spans="12:13">
      <c r="L4322" s="66">
        <v>911360</v>
      </c>
      <c r="M4322" t="s">
        <v>3249</v>
      </c>
    </row>
    <row r="4323" spans="12:13">
      <c r="L4323" s="66">
        <v>911361</v>
      </c>
      <c r="M4323" t="s">
        <v>3250</v>
      </c>
    </row>
    <row r="4324" spans="12:13">
      <c r="L4324" s="66">
        <v>911362</v>
      </c>
      <c r="M4324" t="s">
        <v>3251</v>
      </c>
    </row>
    <row r="4325" spans="12:13">
      <c r="L4325" s="66">
        <v>911365</v>
      </c>
      <c r="M4325" t="s">
        <v>3252</v>
      </c>
    </row>
    <row r="4326" spans="12:13">
      <c r="L4326" s="66">
        <v>911400</v>
      </c>
      <c r="M4326" t="s">
        <v>3253</v>
      </c>
    </row>
    <row r="4327" spans="12:13">
      <c r="L4327" s="66">
        <v>911420</v>
      </c>
      <c r="M4327" t="s">
        <v>3254</v>
      </c>
    </row>
    <row r="4328" spans="12:13">
      <c r="L4328" s="66">
        <v>911421</v>
      </c>
      <c r="M4328" t="s">
        <v>3254</v>
      </c>
    </row>
    <row r="4329" spans="12:13">
      <c r="L4329" s="66">
        <v>911430</v>
      </c>
      <c r="M4329" t="s">
        <v>3255</v>
      </c>
    </row>
    <row r="4330" spans="12:13">
      <c r="L4330" s="66">
        <v>911431</v>
      </c>
      <c r="M4330" t="s">
        <v>3256</v>
      </c>
    </row>
    <row r="4331" spans="12:13">
      <c r="L4331" s="66">
        <v>911432</v>
      </c>
      <c r="M4331" t="s">
        <v>3257</v>
      </c>
    </row>
    <row r="4332" spans="12:13">
      <c r="L4332" s="66">
        <v>911440</v>
      </c>
      <c r="M4332" t="s">
        <v>3258</v>
      </c>
    </row>
    <row r="4333" spans="12:13">
      <c r="L4333" s="66">
        <v>911441</v>
      </c>
      <c r="M4333" t="s">
        <v>3258</v>
      </c>
    </row>
    <row r="4334" spans="12:13">
      <c r="L4334" s="66">
        <v>911450</v>
      </c>
      <c r="M4334" t="s">
        <v>3260</v>
      </c>
    </row>
    <row r="4335" spans="12:13">
      <c r="L4335" s="66">
        <v>911451</v>
      </c>
      <c r="M4335" t="s">
        <v>3260</v>
      </c>
    </row>
    <row r="4336" spans="12:13">
      <c r="L4336" s="66">
        <v>911460</v>
      </c>
      <c r="M4336" t="s">
        <v>3261</v>
      </c>
    </row>
    <row r="4337" spans="12:13">
      <c r="L4337" s="66">
        <v>911461</v>
      </c>
      <c r="M4337" t="s">
        <v>3262</v>
      </c>
    </row>
    <row r="4338" spans="12:13">
      <c r="L4338" s="66">
        <v>911462</v>
      </c>
      <c r="M4338" t="s">
        <v>3263</v>
      </c>
    </row>
    <row r="4339" spans="12:13">
      <c r="L4339" s="66">
        <v>911465</v>
      </c>
      <c r="M4339" t="s">
        <v>3264</v>
      </c>
    </row>
    <row r="4340" spans="12:13">
      <c r="L4340" s="66">
        <v>911500</v>
      </c>
      <c r="M4340" t="s">
        <v>3265</v>
      </c>
    </row>
    <row r="4341" spans="12:13">
      <c r="L4341" s="66">
        <v>911520</v>
      </c>
      <c r="M4341" t="s">
        <v>3266</v>
      </c>
    </row>
    <row r="4342" spans="12:13">
      <c r="L4342" s="66">
        <v>911521</v>
      </c>
      <c r="M4342" t="s">
        <v>3266</v>
      </c>
    </row>
    <row r="4343" spans="12:13">
      <c r="L4343" s="66">
        <v>911530</v>
      </c>
      <c r="M4343" t="s">
        <v>3267</v>
      </c>
    </row>
    <row r="4344" spans="12:13">
      <c r="L4344" s="66">
        <v>911531</v>
      </c>
      <c r="M4344" t="s">
        <v>3268</v>
      </c>
    </row>
    <row r="4345" spans="12:13">
      <c r="L4345" s="66">
        <v>911532</v>
      </c>
      <c r="M4345" t="s">
        <v>3269</v>
      </c>
    </row>
    <row r="4346" spans="12:13">
      <c r="L4346" s="66">
        <v>911540</v>
      </c>
      <c r="M4346" t="s">
        <v>3270</v>
      </c>
    </row>
    <row r="4347" spans="12:13">
      <c r="L4347" s="66">
        <v>911541</v>
      </c>
      <c r="M4347" t="s">
        <v>3270</v>
      </c>
    </row>
    <row r="4348" spans="12:13">
      <c r="L4348" s="66">
        <v>911550</v>
      </c>
      <c r="M4348" t="s">
        <v>3271</v>
      </c>
    </row>
    <row r="4349" spans="12:13">
      <c r="L4349" s="66">
        <v>911551</v>
      </c>
      <c r="M4349" t="s">
        <v>3271</v>
      </c>
    </row>
    <row r="4350" spans="12:13">
      <c r="L4350" s="66">
        <v>911560</v>
      </c>
      <c r="M4350" t="s">
        <v>3272</v>
      </c>
    </row>
    <row r="4351" spans="12:13">
      <c r="L4351" s="66">
        <v>911561</v>
      </c>
      <c r="M4351" t="s">
        <v>3273</v>
      </c>
    </row>
    <row r="4352" spans="12:13">
      <c r="L4352" s="66">
        <v>911562</v>
      </c>
      <c r="M4352" t="s">
        <v>3274</v>
      </c>
    </row>
    <row r="4353" spans="12:13">
      <c r="L4353" s="66">
        <v>911565</v>
      </c>
      <c r="M4353" t="s">
        <v>3275</v>
      </c>
    </row>
    <row r="4354" spans="12:13">
      <c r="L4354" s="66">
        <v>911600</v>
      </c>
      <c r="M4354" t="s">
        <v>3276</v>
      </c>
    </row>
    <row r="4355" spans="12:13">
      <c r="L4355" s="66">
        <v>911620</v>
      </c>
      <c r="M4355" t="s">
        <v>3277</v>
      </c>
    </row>
    <row r="4356" spans="12:13">
      <c r="L4356" s="66">
        <v>911621</v>
      </c>
      <c r="M4356" t="s">
        <v>3277</v>
      </c>
    </row>
    <row r="4357" spans="12:13">
      <c r="L4357" s="66">
        <v>911630</v>
      </c>
      <c r="M4357" t="s">
        <v>3278</v>
      </c>
    </row>
    <row r="4358" spans="12:13">
      <c r="L4358" s="66">
        <v>911631</v>
      </c>
      <c r="M4358" t="s">
        <v>3278</v>
      </c>
    </row>
    <row r="4359" spans="12:13">
      <c r="L4359" s="66">
        <v>911640</v>
      </c>
      <c r="M4359" t="s">
        <v>3279</v>
      </c>
    </row>
    <row r="4360" spans="12:13">
      <c r="L4360" s="66">
        <v>911641</v>
      </c>
      <c r="M4360" t="s">
        <v>3279</v>
      </c>
    </row>
    <row r="4361" spans="12:13">
      <c r="L4361" s="66">
        <v>911650</v>
      </c>
      <c r="M4361" t="s">
        <v>3280</v>
      </c>
    </row>
    <row r="4362" spans="12:13">
      <c r="L4362" s="66">
        <v>911651</v>
      </c>
      <c r="M4362" t="s">
        <v>3280</v>
      </c>
    </row>
    <row r="4363" spans="12:13">
      <c r="L4363" s="66">
        <v>911660</v>
      </c>
      <c r="M4363" t="s">
        <v>3281</v>
      </c>
    </row>
    <row r="4364" spans="12:13">
      <c r="L4364" s="66">
        <v>911661</v>
      </c>
      <c r="M4364" t="s">
        <v>3282</v>
      </c>
    </row>
    <row r="4365" spans="12:13">
      <c r="L4365" s="66">
        <v>911662</v>
      </c>
      <c r="M4365" t="s">
        <v>3283</v>
      </c>
    </row>
    <row r="4366" spans="12:13">
      <c r="L4366" s="66">
        <v>911665</v>
      </c>
      <c r="M4366" t="s">
        <v>3284</v>
      </c>
    </row>
    <row r="4367" spans="12:13">
      <c r="L4367" s="66">
        <v>911700</v>
      </c>
      <c r="M4367" t="s">
        <v>3285</v>
      </c>
    </row>
    <row r="4368" spans="12:13">
      <c r="L4368" s="66">
        <v>911720</v>
      </c>
      <c r="M4368" t="s">
        <v>3286</v>
      </c>
    </row>
    <row r="4369" spans="12:13">
      <c r="L4369" s="66">
        <v>911721</v>
      </c>
      <c r="M4369" t="s">
        <v>3286</v>
      </c>
    </row>
    <row r="4370" spans="12:13">
      <c r="L4370" s="66">
        <v>911730</v>
      </c>
      <c r="M4370" t="s">
        <v>3287</v>
      </c>
    </row>
    <row r="4371" spans="12:13">
      <c r="L4371" s="66">
        <v>911731</v>
      </c>
      <c r="M4371" t="s">
        <v>3287</v>
      </c>
    </row>
    <row r="4372" spans="12:13">
      <c r="L4372" s="66">
        <v>911740</v>
      </c>
      <c r="M4372" t="s">
        <v>3288</v>
      </c>
    </row>
    <row r="4373" spans="12:13">
      <c r="L4373" s="66">
        <v>911741</v>
      </c>
      <c r="M4373" t="s">
        <v>3288</v>
      </c>
    </row>
    <row r="4374" spans="12:13">
      <c r="L4374" s="66">
        <v>911750</v>
      </c>
      <c r="M4374" t="s">
        <v>3289</v>
      </c>
    </row>
    <row r="4375" spans="12:13">
      <c r="L4375" s="66">
        <v>911751</v>
      </c>
      <c r="M4375" t="s">
        <v>3289</v>
      </c>
    </row>
    <row r="4376" spans="12:13">
      <c r="L4376" s="66">
        <v>911760</v>
      </c>
      <c r="M4376" t="s">
        <v>3290</v>
      </c>
    </row>
    <row r="4377" spans="12:13">
      <c r="L4377" s="66">
        <v>911761</v>
      </c>
      <c r="M4377" t="s">
        <v>3291</v>
      </c>
    </row>
    <row r="4378" spans="12:13">
      <c r="L4378" s="66">
        <v>911762</v>
      </c>
      <c r="M4378" t="s">
        <v>3292</v>
      </c>
    </row>
    <row r="4379" spans="12:13">
      <c r="L4379" s="66">
        <v>911765</v>
      </c>
      <c r="M4379" t="s">
        <v>3293</v>
      </c>
    </row>
    <row r="4380" spans="12:13">
      <c r="L4380" s="66">
        <v>911800</v>
      </c>
      <c r="M4380" t="s">
        <v>3294</v>
      </c>
    </row>
    <row r="4381" spans="12:13">
      <c r="L4381" s="66">
        <v>911820</v>
      </c>
      <c r="M4381" t="s">
        <v>3295</v>
      </c>
    </row>
    <row r="4382" spans="12:13">
      <c r="L4382" s="66">
        <v>911821</v>
      </c>
      <c r="M4382" t="s">
        <v>3295</v>
      </c>
    </row>
    <row r="4383" spans="12:13">
      <c r="L4383" s="66">
        <v>911830</v>
      </c>
      <c r="M4383" t="s">
        <v>3296</v>
      </c>
    </row>
    <row r="4384" spans="12:13">
      <c r="L4384" s="66">
        <v>911831</v>
      </c>
      <c r="M4384" t="s">
        <v>3297</v>
      </c>
    </row>
    <row r="4385" spans="12:13">
      <c r="L4385" s="66">
        <v>911832</v>
      </c>
      <c r="M4385" t="s">
        <v>3298</v>
      </c>
    </row>
    <row r="4386" spans="12:13">
      <c r="L4386" s="66">
        <v>911840</v>
      </c>
      <c r="M4386" t="s">
        <v>3299</v>
      </c>
    </row>
    <row r="4387" spans="12:13">
      <c r="L4387" s="66">
        <v>911841</v>
      </c>
      <c r="M4387" t="s">
        <v>3299</v>
      </c>
    </row>
    <row r="4388" spans="12:13">
      <c r="L4388" s="66">
        <v>911850</v>
      </c>
      <c r="M4388" t="s">
        <v>3300</v>
      </c>
    </row>
    <row r="4389" spans="12:13">
      <c r="L4389" s="66">
        <v>911851</v>
      </c>
      <c r="M4389" t="s">
        <v>3300</v>
      </c>
    </row>
    <row r="4390" spans="12:13">
      <c r="L4390" s="66">
        <v>911860</v>
      </c>
      <c r="M4390" t="s">
        <v>3301</v>
      </c>
    </row>
    <row r="4391" spans="12:13">
      <c r="L4391" s="66">
        <v>911861</v>
      </c>
      <c r="M4391" t="s">
        <v>3302</v>
      </c>
    </row>
    <row r="4392" spans="12:13">
      <c r="L4392" s="66">
        <v>911862</v>
      </c>
      <c r="M4392" t="s">
        <v>3303</v>
      </c>
    </row>
    <row r="4393" spans="12:13">
      <c r="L4393" s="66">
        <v>911865</v>
      </c>
      <c r="M4393" t="s">
        <v>3304</v>
      </c>
    </row>
    <row r="4394" spans="12:13">
      <c r="L4394" s="66">
        <v>911900</v>
      </c>
      <c r="M4394" t="s">
        <v>1988</v>
      </c>
    </row>
    <row r="4395" spans="12:13">
      <c r="L4395" s="66">
        <v>911920</v>
      </c>
      <c r="M4395" t="s">
        <v>3305</v>
      </c>
    </row>
    <row r="4396" spans="12:13">
      <c r="L4396" s="66">
        <v>911921</v>
      </c>
      <c r="M4396" t="s">
        <v>3305</v>
      </c>
    </row>
    <row r="4397" spans="12:13">
      <c r="L4397" s="66">
        <v>911930</v>
      </c>
      <c r="M4397" t="s">
        <v>3306</v>
      </c>
    </row>
    <row r="4398" spans="12:13">
      <c r="L4398" s="66">
        <v>911931</v>
      </c>
      <c r="M4398" t="s">
        <v>3307</v>
      </c>
    </row>
    <row r="4399" spans="12:13">
      <c r="L4399" s="66">
        <v>911932</v>
      </c>
      <c r="M4399" t="s">
        <v>3308</v>
      </c>
    </row>
    <row r="4400" spans="12:13">
      <c r="L4400" s="66">
        <v>911940</v>
      </c>
      <c r="M4400" t="s">
        <v>3309</v>
      </c>
    </row>
    <row r="4401" spans="12:13">
      <c r="L4401" s="66">
        <v>911941</v>
      </c>
      <c r="M4401" t="s">
        <v>3309</v>
      </c>
    </row>
    <row r="4402" spans="12:13">
      <c r="L4402" s="66">
        <v>911950</v>
      </c>
      <c r="M4402" t="s">
        <v>3310</v>
      </c>
    </row>
    <row r="4403" spans="12:13">
      <c r="L4403" s="66">
        <v>911951</v>
      </c>
      <c r="M4403" t="s">
        <v>3310</v>
      </c>
    </row>
    <row r="4404" spans="12:13">
      <c r="L4404" s="66">
        <v>911960</v>
      </c>
      <c r="M4404" t="s">
        <v>3311</v>
      </c>
    </row>
    <row r="4405" spans="12:13">
      <c r="L4405" s="66">
        <v>911961</v>
      </c>
      <c r="M4405" t="s">
        <v>3312</v>
      </c>
    </row>
    <row r="4406" spans="12:13">
      <c r="L4406" s="66">
        <v>911962</v>
      </c>
      <c r="M4406" t="s">
        <v>3313</v>
      </c>
    </row>
    <row r="4407" spans="12:13">
      <c r="L4407" s="66">
        <v>911965</v>
      </c>
      <c r="M4407" t="s">
        <v>3314</v>
      </c>
    </row>
    <row r="4408" spans="12:13">
      <c r="L4408" s="66">
        <v>912000</v>
      </c>
      <c r="M4408" t="s">
        <v>3315</v>
      </c>
    </row>
    <row r="4409" spans="12:13">
      <c r="L4409" s="66">
        <v>912100</v>
      </c>
      <c r="M4409" t="s">
        <v>3316</v>
      </c>
    </row>
    <row r="4410" spans="12:13">
      <c r="L4410" s="66">
        <v>912120</v>
      </c>
      <c r="M4410" t="s">
        <v>3317</v>
      </c>
    </row>
    <row r="4411" spans="12:13">
      <c r="L4411" s="66">
        <v>912121</v>
      </c>
      <c r="M4411" t="s">
        <v>3317</v>
      </c>
    </row>
    <row r="4412" spans="12:13">
      <c r="L4412" s="66">
        <v>912130</v>
      </c>
      <c r="M4412" t="s">
        <v>3318</v>
      </c>
    </row>
    <row r="4413" spans="12:13">
      <c r="L4413" s="66">
        <v>912131</v>
      </c>
      <c r="M4413" t="s">
        <v>3318</v>
      </c>
    </row>
    <row r="4414" spans="12:13">
      <c r="L4414" s="66">
        <v>912140</v>
      </c>
      <c r="M4414" t="s">
        <v>3319</v>
      </c>
    </row>
    <row r="4415" spans="12:13">
      <c r="L4415" s="66">
        <v>912141</v>
      </c>
      <c r="M4415" t="s">
        <v>3320</v>
      </c>
    </row>
    <row r="4416" spans="12:13">
      <c r="L4416" s="66">
        <v>912150</v>
      </c>
      <c r="M4416" t="s">
        <v>3321</v>
      </c>
    </row>
    <row r="4417" spans="12:13">
      <c r="L4417" s="66">
        <v>912151</v>
      </c>
      <c r="M4417" t="s">
        <v>3321</v>
      </c>
    </row>
    <row r="4418" spans="12:13">
      <c r="L4418" s="66">
        <v>912160</v>
      </c>
      <c r="M4418" t="s">
        <v>3322</v>
      </c>
    </row>
    <row r="4419" spans="12:13">
      <c r="L4419" s="66">
        <v>912161</v>
      </c>
      <c r="M4419" t="s">
        <v>3323</v>
      </c>
    </row>
    <row r="4420" spans="12:13">
      <c r="L4420" s="66">
        <v>912162</v>
      </c>
      <c r="M4420" t="s">
        <v>3324</v>
      </c>
    </row>
    <row r="4421" spans="12:13">
      <c r="L4421" s="66">
        <v>912165</v>
      </c>
      <c r="M4421" t="s">
        <v>3325</v>
      </c>
    </row>
    <row r="4422" spans="12:13">
      <c r="L4422" s="66">
        <v>912200</v>
      </c>
      <c r="M4422" t="s">
        <v>3326</v>
      </c>
    </row>
    <row r="4423" spans="12:13">
      <c r="L4423" s="66">
        <v>912220</v>
      </c>
      <c r="M4423" t="s">
        <v>3327</v>
      </c>
    </row>
    <row r="4424" spans="12:13">
      <c r="L4424" s="66">
        <v>912221</v>
      </c>
      <c r="M4424" t="s">
        <v>3327</v>
      </c>
    </row>
    <row r="4425" spans="12:13">
      <c r="L4425" s="66">
        <v>912230</v>
      </c>
      <c r="M4425" t="s">
        <v>3328</v>
      </c>
    </row>
    <row r="4426" spans="12:13">
      <c r="L4426" s="66">
        <v>912231</v>
      </c>
      <c r="M4426" t="s">
        <v>3329</v>
      </c>
    </row>
    <row r="4427" spans="12:13">
      <c r="L4427" s="66">
        <v>912232</v>
      </c>
      <c r="M4427" t="s">
        <v>3330</v>
      </c>
    </row>
    <row r="4428" spans="12:13">
      <c r="L4428" s="66">
        <v>912240</v>
      </c>
      <c r="M4428" t="s">
        <v>3331</v>
      </c>
    </row>
    <row r="4429" spans="12:13">
      <c r="L4429" s="66">
        <v>912241</v>
      </c>
      <c r="M4429" t="s">
        <v>3331</v>
      </c>
    </row>
    <row r="4430" spans="12:13">
      <c r="L4430" s="66">
        <v>912250</v>
      </c>
      <c r="M4430" t="s">
        <v>3332</v>
      </c>
    </row>
    <row r="4431" spans="12:13">
      <c r="L4431" s="66">
        <v>912251</v>
      </c>
      <c r="M4431" t="s">
        <v>3332</v>
      </c>
    </row>
    <row r="4432" spans="12:13">
      <c r="L4432" s="66">
        <v>912260</v>
      </c>
      <c r="M4432" t="s">
        <v>3333</v>
      </c>
    </row>
    <row r="4433" spans="12:13">
      <c r="L4433" s="66">
        <v>912261</v>
      </c>
      <c r="M4433" t="s">
        <v>3334</v>
      </c>
    </row>
    <row r="4434" spans="12:13">
      <c r="L4434" s="66">
        <v>912262</v>
      </c>
      <c r="M4434" t="s">
        <v>3335</v>
      </c>
    </row>
    <row r="4435" spans="12:13">
      <c r="L4435" s="66">
        <v>912265</v>
      </c>
      <c r="M4435" t="s">
        <v>3336</v>
      </c>
    </row>
    <row r="4436" spans="12:13">
      <c r="L4436" s="66">
        <v>912300</v>
      </c>
      <c r="M4436" t="s">
        <v>3337</v>
      </c>
    </row>
    <row r="4437" spans="12:13">
      <c r="L4437" s="66">
        <v>912320</v>
      </c>
      <c r="M4437" t="s">
        <v>3338</v>
      </c>
    </row>
    <row r="4438" spans="12:13">
      <c r="L4438" s="66">
        <v>912321</v>
      </c>
      <c r="M4438" t="s">
        <v>3338</v>
      </c>
    </row>
    <row r="4439" spans="12:13">
      <c r="L4439" s="66">
        <v>912330</v>
      </c>
      <c r="M4439" t="s">
        <v>3339</v>
      </c>
    </row>
    <row r="4440" spans="12:13">
      <c r="L4440" s="66">
        <v>912331</v>
      </c>
      <c r="M4440" t="s">
        <v>3340</v>
      </c>
    </row>
    <row r="4441" spans="12:13">
      <c r="L4441" s="66">
        <v>912332</v>
      </c>
      <c r="M4441" t="s">
        <v>3341</v>
      </c>
    </row>
    <row r="4442" spans="12:13">
      <c r="L4442" s="66">
        <v>912340</v>
      </c>
      <c r="M4442" t="s">
        <v>3342</v>
      </c>
    </row>
    <row r="4443" spans="12:13">
      <c r="L4443" s="66">
        <v>912341</v>
      </c>
      <c r="M4443" t="s">
        <v>3342</v>
      </c>
    </row>
    <row r="4444" spans="12:13">
      <c r="L4444" s="66">
        <v>912350</v>
      </c>
      <c r="M4444" t="s">
        <v>3343</v>
      </c>
    </row>
    <row r="4445" spans="12:13">
      <c r="L4445" s="66">
        <v>912351</v>
      </c>
      <c r="M4445" t="s">
        <v>3343</v>
      </c>
    </row>
    <row r="4446" spans="12:13">
      <c r="L4446" s="66">
        <v>912360</v>
      </c>
      <c r="M4446" t="s">
        <v>3344</v>
      </c>
    </row>
    <row r="4447" spans="12:13">
      <c r="L4447" s="66">
        <v>912361</v>
      </c>
      <c r="M4447" t="s">
        <v>3345</v>
      </c>
    </row>
    <row r="4448" spans="12:13">
      <c r="L4448" s="66">
        <v>912362</v>
      </c>
      <c r="M4448" t="s">
        <v>3346</v>
      </c>
    </row>
    <row r="4449" spans="12:13">
      <c r="L4449" s="66">
        <v>912365</v>
      </c>
      <c r="M4449" t="s">
        <v>3347</v>
      </c>
    </row>
    <row r="4450" spans="12:13">
      <c r="L4450" s="66">
        <v>912400</v>
      </c>
      <c r="M4450" t="s">
        <v>3348</v>
      </c>
    </row>
    <row r="4451" spans="12:13">
      <c r="L4451" s="66">
        <v>912420</v>
      </c>
      <c r="M4451" t="s">
        <v>3349</v>
      </c>
    </row>
    <row r="4452" spans="12:13">
      <c r="L4452" s="66">
        <v>912421</v>
      </c>
      <c r="M4452" t="s">
        <v>3349</v>
      </c>
    </row>
    <row r="4453" spans="12:13">
      <c r="L4453" s="66">
        <v>912430</v>
      </c>
      <c r="M4453" t="s">
        <v>3350</v>
      </c>
    </row>
    <row r="4454" spans="12:13">
      <c r="L4454" s="66">
        <v>912431</v>
      </c>
      <c r="M4454" t="s">
        <v>3351</v>
      </c>
    </row>
    <row r="4455" spans="12:13">
      <c r="L4455" s="66">
        <v>912432</v>
      </c>
      <c r="M4455" t="s">
        <v>3352</v>
      </c>
    </row>
    <row r="4456" spans="12:13">
      <c r="L4456" s="66">
        <v>912440</v>
      </c>
      <c r="M4456" t="s">
        <v>3353</v>
      </c>
    </row>
    <row r="4457" spans="12:13">
      <c r="L4457" s="66">
        <v>912441</v>
      </c>
      <c r="M4457" t="s">
        <v>3353</v>
      </c>
    </row>
    <row r="4458" spans="12:13">
      <c r="L4458" s="66">
        <v>912450</v>
      </c>
      <c r="M4458" t="s">
        <v>3354</v>
      </c>
    </row>
    <row r="4459" spans="12:13">
      <c r="L4459" s="66">
        <v>912451</v>
      </c>
      <c r="M4459" t="s">
        <v>3354</v>
      </c>
    </row>
    <row r="4460" spans="12:13">
      <c r="L4460" s="66">
        <v>912460</v>
      </c>
      <c r="M4460" t="s">
        <v>3355</v>
      </c>
    </row>
    <row r="4461" spans="12:13">
      <c r="L4461" s="66">
        <v>912461</v>
      </c>
      <c r="M4461" t="s">
        <v>3356</v>
      </c>
    </row>
    <row r="4462" spans="12:13">
      <c r="L4462" s="66">
        <v>912462</v>
      </c>
      <c r="M4462" t="s">
        <v>3357</v>
      </c>
    </row>
    <row r="4463" spans="12:13">
      <c r="L4463" s="66">
        <v>912465</v>
      </c>
      <c r="M4463" t="s">
        <v>3358</v>
      </c>
    </row>
    <row r="4464" spans="12:13">
      <c r="L4464" s="66">
        <v>912500</v>
      </c>
      <c r="M4464" t="s">
        <v>3359</v>
      </c>
    </row>
    <row r="4465" spans="12:13">
      <c r="L4465" s="66">
        <v>912520</v>
      </c>
      <c r="M4465" t="s">
        <v>3360</v>
      </c>
    </row>
    <row r="4466" spans="12:13">
      <c r="L4466" s="66">
        <v>912521</v>
      </c>
      <c r="M4466" t="s">
        <v>3360</v>
      </c>
    </row>
    <row r="4467" spans="12:13">
      <c r="L4467" s="66">
        <v>912530</v>
      </c>
      <c r="M4467" t="s">
        <v>3361</v>
      </c>
    </row>
    <row r="4468" spans="12:13">
      <c r="L4468" s="66">
        <v>912531</v>
      </c>
      <c r="M4468" t="s">
        <v>3362</v>
      </c>
    </row>
    <row r="4469" spans="12:13">
      <c r="L4469" s="66">
        <v>912532</v>
      </c>
      <c r="M4469" t="s">
        <v>3363</v>
      </c>
    </row>
    <row r="4470" spans="12:13">
      <c r="L4470" s="66">
        <v>912540</v>
      </c>
      <c r="M4470" t="s">
        <v>3364</v>
      </c>
    </row>
    <row r="4471" spans="12:13">
      <c r="L4471" s="66">
        <v>912541</v>
      </c>
      <c r="M4471" t="s">
        <v>3364</v>
      </c>
    </row>
    <row r="4472" spans="12:13">
      <c r="L4472" s="66">
        <v>912550</v>
      </c>
      <c r="M4472" t="s">
        <v>3365</v>
      </c>
    </row>
    <row r="4473" spans="12:13">
      <c r="L4473" s="66">
        <v>912551</v>
      </c>
      <c r="M4473" t="s">
        <v>3365</v>
      </c>
    </row>
    <row r="4474" spans="12:13">
      <c r="L4474" s="66">
        <v>912560</v>
      </c>
      <c r="M4474" t="s">
        <v>3366</v>
      </c>
    </row>
    <row r="4475" spans="12:13">
      <c r="L4475" s="66">
        <v>912561</v>
      </c>
      <c r="M4475" t="s">
        <v>3367</v>
      </c>
    </row>
    <row r="4476" spans="12:13">
      <c r="L4476" s="66">
        <v>912562</v>
      </c>
      <c r="M4476" t="s">
        <v>3368</v>
      </c>
    </row>
    <row r="4477" spans="12:13">
      <c r="L4477" s="66">
        <v>912565</v>
      </c>
      <c r="M4477" t="s">
        <v>3369</v>
      </c>
    </row>
    <row r="4478" spans="12:13">
      <c r="L4478" s="66">
        <v>912600</v>
      </c>
      <c r="M4478" t="s">
        <v>3370</v>
      </c>
    </row>
    <row r="4479" spans="12:13">
      <c r="L4479" s="66">
        <v>912620</v>
      </c>
      <c r="M4479" t="s">
        <v>3371</v>
      </c>
    </row>
    <row r="4480" spans="12:13">
      <c r="L4480" s="66">
        <v>912621</v>
      </c>
      <c r="M4480" t="s">
        <v>3371</v>
      </c>
    </row>
    <row r="4481" spans="12:13">
      <c r="L4481" s="66">
        <v>912630</v>
      </c>
      <c r="M4481" t="s">
        <v>3372</v>
      </c>
    </row>
    <row r="4482" spans="12:13">
      <c r="L4482" s="66">
        <v>912631</v>
      </c>
      <c r="M4482" t="s">
        <v>3372</v>
      </c>
    </row>
    <row r="4483" spans="12:13">
      <c r="L4483" s="66">
        <v>912640</v>
      </c>
      <c r="M4483" t="s">
        <v>3373</v>
      </c>
    </row>
    <row r="4484" spans="12:13">
      <c r="L4484" s="66">
        <v>912641</v>
      </c>
      <c r="M4484" t="s">
        <v>3373</v>
      </c>
    </row>
    <row r="4485" spans="12:13">
      <c r="L4485" s="66">
        <v>912650</v>
      </c>
      <c r="M4485" t="s">
        <v>3374</v>
      </c>
    </row>
    <row r="4486" spans="12:13">
      <c r="L4486" s="66">
        <v>912651</v>
      </c>
      <c r="M4486" t="s">
        <v>3374</v>
      </c>
    </row>
    <row r="4487" spans="12:13">
      <c r="L4487" s="66">
        <v>912660</v>
      </c>
      <c r="M4487" t="s">
        <v>3375</v>
      </c>
    </row>
    <row r="4488" spans="12:13">
      <c r="L4488" s="66">
        <v>912661</v>
      </c>
      <c r="M4488" t="s">
        <v>3376</v>
      </c>
    </row>
    <row r="4489" spans="12:13">
      <c r="L4489" s="66">
        <v>912662</v>
      </c>
      <c r="M4489" t="s">
        <v>3377</v>
      </c>
    </row>
    <row r="4490" spans="12:13">
      <c r="L4490" s="66">
        <v>912665</v>
      </c>
      <c r="M4490" t="s">
        <v>3378</v>
      </c>
    </row>
    <row r="4491" spans="12:13">
      <c r="L4491" s="66">
        <v>912900</v>
      </c>
      <c r="M4491" t="s">
        <v>1996</v>
      </c>
    </row>
    <row r="4492" spans="12:13">
      <c r="L4492" s="66">
        <v>912920</v>
      </c>
      <c r="M4492" t="s">
        <v>3379</v>
      </c>
    </row>
    <row r="4493" spans="12:13">
      <c r="L4493" s="66">
        <v>912921</v>
      </c>
      <c r="M4493" t="s">
        <v>3379</v>
      </c>
    </row>
    <row r="4494" spans="12:13">
      <c r="L4494" s="66">
        <v>912930</v>
      </c>
      <c r="M4494" t="s">
        <v>3380</v>
      </c>
    </row>
    <row r="4495" spans="12:13">
      <c r="L4495" s="66">
        <v>912931</v>
      </c>
      <c r="M4495" t="s">
        <v>3381</v>
      </c>
    </row>
    <row r="4496" spans="12:13">
      <c r="L4496" s="66">
        <v>912932</v>
      </c>
      <c r="M4496" t="s">
        <v>3382</v>
      </c>
    </row>
    <row r="4497" spans="12:13">
      <c r="L4497" s="66">
        <v>912940</v>
      </c>
      <c r="M4497" t="s">
        <v>3383</v>
      </c>
    </row>
    <row r="4498" spans="12:13">
      <c r="L4498" s="66">
        <v>912941</v>
      </c>
      <c r="M4498" t="s">
        <v>3383</v>
      </c>
    </row>
    <row r="4499" spans="12:13">
      <c r="L4499" s="66">
        <v>912950</v>
      </c>
      <c r="M4499" t="s">
        <v>3384</v>
      </c>
    </row>
    <row r="4500" spans="12:13">
      <c r="L4500" s="66">
        <v>912951</v>
      </c>
      <c r="M4500" t="s">
        <v>3384</v>
      </c>
    </row>
    <row r="4501" spans="12:13">
      <c r="L4501" s="66">
        <v>912960</v>
      </c>
      <c r="M4501" t="s">
        <v>3385</v>
      </c>
    </row>
    <row r="4502" spans="12:13">
      <c r="L4502" s="66">
        <v>912961</v>
      </c>
      <c r="M4502" t="s">
        <v>3386</v>
      </c>
    </row>
    <row r="4503" spans="12:13">
      <c r="L4503" s="66">
        <v>912962</v>
      </c>
      <c r="M4503" t="s">
        <v>3387</v>
      </c>
    </row>
    <row r="4504" spans="12:13">
      <c r="L4504" s="66">
        <v>912965</v>
      </c>
      <c r="M4504" t="s">
        <v>3388</v>
      </c>
    </row>
    <row r="4505" spans="12:13">
      <c r="L4505" s="66">
        <v>920000</v>
      </c>
      <c r="M4505" t="s">
        <v>1214</v>
      </c>
    </row>
    <row r="4506" spans="12:13">
      <c r="L4506" s="66">
        <v>921000</v>
      </c>
      <c r="M4506" t="s">
        <v>3390</v>
      </c>
    </row>
    <row r="4507" spans="12:13">
      <c r="L4507" s="66">
        <v>921100</v>
      </c>
      <c r="M4507" t="s">
        <v>3391</v>
      </c>
    </row>
    <row r="4508" spans="12:13">
      <c r="L4508" s="66">
        <v>921120</v>
      </c>
      <c r="M4508" t="s">
        <v>3392</v>
      </c>
    </row>
    <row r="4509" spans="12:13">
      <c r="L4509" s="66">
        <v>921121</v>
      </c>
      <c r="M4509" t="s">
        <v>3392</v>
      </c>
    </row>
    <row r="4510" spans="12:13">
      <c r="L4510" s="66">
        <v>921130</v>
      </c>
      <c r="M4510" t="s">
        <v>3393</v>
      </c>
    </row>
    <row r="4511" spans="12:13">
      <c r="L4511" s="66">
        <v>921131</v>
      </c>
      <c r="M4511" t="s">
        <v>3394</v>
      </c>
    </row>
    <row r="4512" spans="12:13">
      <c r="L4512" s="66">
        <v>921132</v>
      </c>
      <c r="M4512" t="s">
        <v>3395</v>
      </c>
    </row>
    <row r="4513" spans="12:13">
      <c r="L4513" s="66">
        <v>921140</v>
      </c>
      <c r="M4513" t="s">
        <v>3396</v>
      </c>
    </row>
    <row r="4514" spans="12:13">
      <c r="L4514" s="66">
        <v>921141</v>
      </c>
      <c r="M4514" t="s">
        <v>3396</v>
      </c>
    </row>
    <row r="4515" spans="12:13">
      <c r="L4515" s="66">
        <v>921150</v>
      </c>
      <c r="M4515" t="s">
        <v>3397</v>
      </c>
    </row>
    <row r="4516" spans="12:13">
      <c r="L4516" s="66">
        <v>921151</v>
      </c>
      <c r="M4516" t="s">
        <v>3397</v>
      </c>
    </row>
    <row r="4517" spans="12:13">
      <c r="L4517" s="66">
        <v>921160</v>
      </c>
      <c r="M4517" t="s">
        <v>3398</v>
      </c>
    </row>
    <row r="4518" spans="12:13">
      <c r="L4518" s="66">
        <v>921161</v>
      </c>
      <c r="M4518" t="s">
        <v>3399</v>
      </c>
    </row>
    <row r="4519" spans="12:13">
      <c r="L4519" s="66">
        <v>921162</v>
      </c>
      <c r="M4519" t="s">
        <v>3400</v>
      </c>
    </row>
    <row r="4520" spans="12:13">
      <c r="L4520" s="66">
        <v>921165</v>
      </c>
      <c r="M4520" t="s">
        <v>3401</v>
      </c>
    </row>
    <row r="4521" spans="12:13">
      <c r="L4521" s="66">
        <v>921220</v>
      </c>
      <c r="M4521" t="s">
        <v>3402</v>
      </c>
    </row>
    <row r="4522" spans="12:13">
      <c r="L4522" s="66">
        <v>921221</v>
      </c>
      <c r="M4522" t="s">
        <v>3402</v>
      </c>
    </row>
    <row r="4523" spans="12:13">
      <c r="L4523" s="66">
        <v>921230</v>
      </c>
      <c r="M4523" t="s">
        <v>3403</v>
      </c>
    </row>
    <row r="4524" spans="12:13">
      <c r="L4524" s="66">
        <v>921231</v>
      </c>
      <c r="M4524" t="s">
        <v>3404</v>
      </c>
    </row>
    <row r="4525" spans="12:13">
      <c r="L4525" s="66">
        <v>921232</v>
      </c>
      <c r="M4525" t="s">
        <v>3405</v>
      </c>
    </row>
    <row r="4526" spans="12:13">
      <c r="L4526" s="66">
        <v>921240</v>
      </c>
      <c r="M4526" t="s">
        <v>3406</v>
      </c>
    </row>
    <row r="4527" spans="12:13">
      <c r="L4527" s="66">
        <v>921241</v>
      </c>
      <c r="M4527" t="s">
        <v>3406</v>
      </c>
    </row>
    <row r="4528" spans="12:13">
      <c r="L4528" s="66">
        <v>921250</v>
      </c>
      <c r="M4528" t="s">
        <v>3407</v>
      </c>
    </row>
    <row r="4529" spans="12:13">
      <c r="L4529" s="66">
        <v>921251</v>
      </c>
      <c r="M4529" t="s">
        <v>3407</v>
      </c>
    </row>
    <row r="4530" spans="12:13">
      <c r="L4530" s="66">
        <v>921260</v>
      </c>
      <c r="M4530" t="s">
        <v>3408</v>
      </c>
    </row>
    <row r="4531" spans="12:13">
      <c r="L4531" s="66">
        <v>921261</v>
      </c>
      <c r="M4531" t="s">
        <v>3409</v>
      </c>
    </row>
    <row r="4532" spans="12:13">
      <c r="L4532" s="66">
        <v>921262</v>
      </c>
      <c r="M4532" t="s">
        <v>3410</v>
      </c>
    </row>
    <row r="4533" spans="12:13">
      <c r="L4533" s="66">
        <v>921265</v>
      </c>
      <c r="M4533" t="s">
        <v>3411</v>
      </c>
    </row>
    <row r="4534" spans="12:13">
      <c r="L4534" s="66">
        <v>921300</v>
      </c>
      <c r="M4534" t="s">
        <v>3412</v>
      </c>
    </row>
    <row r="4535" spans="12:13">
      <c r="L4535" s="66">
        <v>921320</v>
      </c>
      <c r="M4535" t="s">
        <v>3413</v>
      </c>
    </row>
    <row r="4536" spans="12:13">
      <c r="L4536" s="66">
        <v>921321</v>
      </c>
      <c r="M4536" t="s">
        <v>3413</v>
      </c>
    </row>
    <row r="4537" spans="12:13">
      <c r="L4537" s="66">
        <v>921330</v>
      </c>
      <c r="M4537" t="s">
        <v>3414</v>
      </c>
    </row>
    <row r="4538" spans="12:13">
      <c r="L4538" s="66">
        <v>921331</v>
      </c>
      <c r="M4538" t="s">
        <v>3414</v>
      </c>
    </row>
    <row r="4539" spans="12:13">
      <c r="L4539" s="66">
        <v>921340</v>
      </c>
      <c r="M4539" t="s">
        <v>3415</v>
      </c>
    </row>
    <row r="4540" spans="12:13">
      <c r="L4540" s="66">
        <v>921341</v>
      </c>
      <c r="M4540" t="s">
        <v>3415</v>
      </c>
    </row>
    <row r="4541" spans="12:13">
      <c r="L4541" s="66">
        <v>921350</v>
      </c>
      <c r="M4541" t="s">
        <v>3416</v>
      </c>
    </row>
    <row r="4542" spans="12:13">
      <c r="L4542" s="66">
        <v>921351</v>
      </c>
      <c r="M4542" t="s">
        <v>3416</v>
      </c>
    </row>
    <row r="4543" spans="12:13">
      <c r="L4543" s="66">
        <v>921360</v>
      </c>
      <c r="M4543" t="s">
        <v>3417</v>
      </c>
    </row>
    <row r="4544" spans="12:13">
      <c r="L4544" s="66">
        <v>921361</v>
      </c>
      <c r="M4544" t="s">
        <v>3418</v>
      </c>
    </row>
    <row r="4545" spans="12:13">
      <c r="L4545" s="66">
        <v>921362</v>
      </c>
      <c r="M4545" t="s">
        <v>3419</v>
      </c>
    </row>
    <row r="4546" spans="12:13">
      <c r="L4546" s="66">
        <v>921365</v>
      </c>
      <c r="M4546" t="s">
        <v>3420</v>
      </c>
    </row>
    <row r="4547" spans="12:13">
      <c r="L4547" s="66">
        <v>921400</v>
      </c>
      <c r="M4547" t="s">
        <v>3421</v>
      </c>
    </row>
    <row r="4548" spans="12:13">
      <c r="L4548" s="66">
        <v>921420</v>
      </c>
      <c r="M4548" t="s">
        <v>3422</v>
      </c>
    </row>
    <row r="4549" spans="12:13">
      <c r="L4549" s="66">
        <v>921421</v>
      </c>
      <c r="M4549" t="s">
        <v>3422</v>
      </c>
    </row>
    <row r="4550" spans="12:13">
      <c r="L4550" s="66">
        <v>921430</v>
      </c>
      <c r="M4550" t="s">
        <v>3423</v>
      </c>
    </row>
    <row r="4551" spans="12:13">
      <c r="L4551" s="66">
        <v>921431</v>
      </c>
      <c r="M4551" t="s">
        <v>3423</v>
      </c>
    </row>
    <row r="4552" spans="12:13">
      <c r="L4552" s="66">
        <v>921440</v>
      </c>
      <c r="M4552" t="s">
        <v>3424</v>
      </c>
    </row>
    <row r="4553" spans="12:13">
      <c r="L4553" s="66">
        <v>921441</v>
      </c>
      <c r="M4553" t="s">
        <v>3424</v>
      </c>
    </row>
    <row r="4554" spans="12:13">
      <c r="L4554" s="66">
        <v>921450</v>
      </c>
      <c r="M4554" t="s">
        <v>3425</v>
      </c>
    </row>
    <row r="4555" spans="12:13">
      <c r="L4555" s="66">
        <v>921451</v>
      </c>
      <c r="M4555" t="s">
        <v>3425</v>
      </c>
    </row>
    <row r="4556" spans="12:13">
      <c r="L4556" s="66">
        <v>921460</v>
      </c>
      <c r="M4556" t="s">
        <v>3426</v>
      </c>
    </row>
    <row r="4557" spans="12:13">
      <c r="L4557" s="66">
        <v>921461</v>
      </c>
      <c r="M4557" t="s">
        <v>3427</v>
      </c>
    </row>
    <row r="4558" spans="12:13">
      <c r="L4558" s="66">
        <v>921462</v>
      </c>
      <c r="M4558" t="s">
        <v>3428</v>
      </c>
    </row>
    <row r="4559" spans="12:13">
      <c r="L4559" s="66">
        <v>921465</v>
      </c>
      <c r="M4559" t="s">
        <v>3429</v>
      </c>
    </row>
    <row r="4560" spans="12:13">
      <c r="L4560" s="66">
        <v>921500</v>
      </c>
      <c r="M4560" t="s">
        <v>3430</v>
      </c>
    </row>
    <row r="4561" spans="12:13">
      <c r="L4561" s="66">
        <v>921520</v>
      </c>
      <c r="M4561" t="s">
        <v>3431</v>
      </c>
    </row>
    <row r="4562" spans="12:13">
      <c r="L4562" s="66">
        <v>921521</v>
      </c>
      <c r="M4562" t="s">
        <v>3431</v>
      </c>
    </row>
    <row r="4563" spans="12:13">
      <c r="L4563" s="66">
        <v>921530</v>
      </c>
      <c r="M4563" t="s">
        <v>3432</v>
      </c>
    </row>
    <row r="4564" spans="12:13">
      <c r="L4564" s="66">
        <v>921531</v>
      </c>
      <c r="M4564" t="s">
        <v>3433</v>
      </c>
    </row>
    <row r="4565" spans="12:13">
      <c r="L4565" s="66">
        <v>921532</v>
      </c>
      <c r="M4565" t="s">
        <v>3434</v>
      </c>
    </row>
    <row r="4566" spans="12:13">
      <c r="L4566" s="66">
        <v>921540</v>
      </c>
      <c r="M4566" t="s">
        <v>3435</v>
      </c>
    </row>
    <row r="4567" spans="12:13">
      <c r="L4567" s="66">
        <v>921541</v>
      </c>
      <c r="M4567" t="s">
        <v>3435</v>
      </c>
    </row>
    <row r="4568" spans="12:13">
      <c r="L4568" s="66">
        <v>921550</v>
      </c>
      <c r="M4568" t="s">
        <v>3436</v>
      </c>
    </row>
    <row r="4569" spans="12:13">
      <c r="L4569" s="66">
        <v>921551</v>
      </c>
      <c r="M4569" t="s">
        <v>3436</v>
      </c>
    </row>
    <row r="4570" spans="12:13">
      <c r="L4570" s="66">
        <v>921560</v>
      </c>
      <c r="M4570" t="s">
        <v>3437</v>
      </c>
    </row>
    <row r="4571" spans="12:13">
      <c r="L4571" s="66">
        <v>921561</v>
      </c>
      <c r="M4571" t="s">
        <v>3438</v>
      </c>
    </row>
    <row r="4572" spans="12:13">
      <c r="L4572" s="66">
        <v>921562</v>
      </c>
      <c r="M4572" t="s">
        <v>3439</v>
      </c>
    </row>
    <row r="4573" spans="12:13">
      <c r="L4573" s="66">
        <v>921565</v>
      </c>
      <c r="M4573" t="s">
        <v>3440</v>
      </c>
    </row>
    <row r="4574" spans="12:13">
      <c r="L4574" s="66">
        <v>921600</v>
      </c>
      <c r="M4574" t="s">
        <v>3441</v>
      </c>
    </row>
    <row r="4575" spans="12:13">
      <c r="L4575" s="66">
        <v>921620</v>
      </c>
      <c r="M4575" t="s">
        <v>3442</v>
      </c>
    </row>
    <row r="4576" spans="12:13">
      <c r="L4576" s="66">
        <v>921621</v>
      </c>
      <c r="M4576" t="s">
        <v>3442</v>
      </c>
    </row>
    <row r="4577" spans="12:13">
      <c r="L4577" s="66">
        <v>921630</v>
      </c>
      <c r="M4577" t="s">
        <v>3443</v>
      </c>
    </row>
    <row r="4578" spans="12:13">
      <c r="L4578" s="66">
        <v>921631</v>
      </c>
      <c r="M4578" t="s">
        <v>3444</v>
      </c>
    </row>
    <row r="4579" spans="12:13">
      <c r="L4579" s="66">
        <v>921632</v>
      </c>
      <c r="M4579" t="s">
        <v>3445</v>
      </c>
    </row>
    <row r="4580" spans="12:13">
      <c r="L4580" s="66">
        <v>921640</v>
      </c>
      <c r="M4580" t="s">
        <v>3446</v>
      </c>
    </row>
    <row r="4581" spans="12:13">
      <c r="L4581" s="66">
        <v>921641</v>
      </c>
      <c r="M4581" t="s">
        <v>3446</v>
      </c>
    </row>
    <row r="4582" spans="12:13">
      <c r="L4582" s="66">
        <v>921650</v>
      </c>
      <c r="M4582" t="s">
        <v>3447</v>
      </c>
    </row>
    <row r="4583" spans="12:13">
      <c r="L4583" s="66">
        <v>921651</v>
      </c>
      <c r="M4583" t="s">
        <v>3447</v>
      </c>
    </row>
    <row r="4584" spans="12:13">
      <c r="L4584" s="66">
        <v>921660</v>
      </c>
      <c r="M4584" t="s">
        <v>3448</v>
      </c>
    </row>
    <row r="4585" spans="12:13">
      <c r="L4585" s="66">
        <v>921661</v>
      </c>
      <c r="M4585" t="s">
        <v>3449</v>
      </c>
    </row>
    <row r="4586" spans="12:13">
      <c r="L4586" s="66">
        <v>921662</v>
      </c>
      <c r="M4586" t="s">
        <v>3450</v>
      </c>
    </row>
    <row r="4587" spans="12:13">
      <c r="L4587" s="66">
        <v>921665</v>
      </c>
      <c r="M4587" t="s">
        <v>3451</v>
      </c>
    </row>
    <row r="4588" spans="12:13">
      <c r="L4588" s="66">
        <v>921700</v>
      </c>
      <c r="M4588" t="s">
        <v>3452</v>
      </c>
    </row>
    <row r="4589" spans="12:13">
      <c r="L4589" s="66">
        <v>921720</v>
      </c>
      <c r="M4589" t="s">
        <v>3453</v>
      </c>
    </row>
    <row r="4590" spans="12:13">
      <c r="L4590" s="66">
        <v>921721</v>
      </c>
      <c r="M4590" t="s">
        <v>3453</v>
      </c>
    </row>
    <row r="4591" spans="12:13">
      <c r="L4591" s="66">
        <v>921730</v>
      </c>
      <c r="M4591" t="s">
        <v>3454</v>
      </c>
    </row>
    <row r="4592" spans="12:13">
      <c r="L4592" s="66">
        <v>921731</v>
      </c>
      <c r="M4592" t="s">
        <v>3455</v>
      </c>
    </row>
    <row r="4593" spans="12:13">
      <c r="L4593" s="66">
        <v>921732</v>
      </c>
      <c r="M4593" t="s">
        <v>3456</v>
      </c>
    </row>
    <row r="4594" spans="12:13">
      <c r="L4594" s="66">
        <v>921740</v>
      </c>
      <c r="M4594" t="s">
        <v>3457</v>
      </c>
    </row>
    <row r="4595" spans="12:13">
      <c r="L4595" s="66">
        <v>921741</v>
      </c>
      <c r="M4595" t="s">
        <v>3457</v>
      </c>
    </row>
    <row r="4596" spans="12:13">
      <c r="L4596" s="66">
        <v>921750</v>
      </c>
      <c r="M4596" t="s">
        <v>3458</v>
      </c>
    </row>
    <row r="4597" spans="12:13">
      <c r="L4597" s="66">
        <v>921751</v>
      </c>
      <c r="M4597" t="s">
        <v>3458</v>
      </c>
    </row>
    <row r="4598" spans="12:13">
      <c r="L4598" s="66">
        <v>921760</v>
      </c>
      <c r="M4598" t="s">
        <v>3459</v>
      </c>
    </row>
    <row r="4599" spans="12:13">
      <c r="L4599" s="66">
        <v>921761</v>
      </c>
      <c r="M4599" t="s">
        <v>3460</v>
      </c>
    </row>
    <row r="4600" spans="12:13">
      <c r="L4600" s="66">
        <v>921762</v>
      </c>
      <c r="M4600" t="s">
        <v>3461</v>
      </c>
    </row>
    <row r="4601" spans="12:13">
      <c r="L4601" s="66">
        <v>921765</v>
      </c>
      <c r="M4601" t="s">
        <v>3462</v>
      </c>
    </row>
    <row r="4602" spans="12:13">
      <c r="L4602" s="66">
        <v>921800</v>
      </c>
      <c r="M4602" t="s">
        <v>3463</v>
      </c>
    </row>
    <row r="4603" spans="12:13">
      <c r="L4603" s="66">
        <v>921820</v>
      </c>
      <c r="M4603" t="s">
        <v>3464</v>
      </c>
    </row>
    <row r="4604" spans="12:13">
      <c r="L4604" s="66">
        <v>921821</v>
      </c>
      <c r="M4604" t="s">
        <v>3464</v>
      </c>
    </row>
    <row r="4605" spans="12:13">
      <c r="L4605" s="66">
        <v>921830</v>
      </c>
      <c r="M4605" t="s">
        <v>3465</v>
      </c>
    </row>
    <row r="4606" spans="12:13">
      <c r="L4606" s="66">
        <v>921831</v>
      </c>
      <c r="M4606" t="s">
        <v>3465</v>
      </c>
    </row>
    <row r="4607" spans="12:13">
      <c r="L4607" s="66">
        <v>921840</v>
      </c>
      <c r="M4607" t="s">
        <v>3466</v>
      </c>
    </row>
    <row r="4608" spans="12:13">
      <c r="L4608" s="66">
        <v>921841</v>
      </c>
      <c r="M4608" t="s">
        <v>3466</v>
      </c>
    </row>
    <row r="4609" spans="12:13">
      <c r="L4609" s="66">
        <v>921850</v>
      </c>
      <c r="M4609" t="s">
        <v>3467</v>
      </c>
    </row>
    <row r="4610" spans="12:13">
      <c r="L4610" s="66">
        <v>921851</v>
      </c>
      <c r="M4610" t="s">
        <v>3467</v>
      </c>
    </row>
    <row r="4611" spans="12:13">
      <c r="L4611" s="66">
        <v>921860</v>
      </c>
      <c r="M4611" t="s">
        <v>3468</v>
      </c>
    </row>
    <row r="4612" spans="12:13">
      <c r="L4612" s="66">
        <v>921861</v>
      </c>
      <c r="M4612" t="s">
        <v>3469</v>
      </c>
    </row>
    <row r="4613" spans="12:13">
      <c r="L4613" s="66">
        <v>921862</v>
      </c>
      <c r="M4613" t="s">
        <v>3470</v>
      </c>
    </row>
    <row r="4614" spans="12:13">
      <c r="L4614" s="66">
        <v>921865</v>
      </c>
      <c r="M4614" t="s">
        <v>3471</v>
      </c>
    </row>
    <row r="4615" spans="12:13">
      <c r="L4615" s="66">
        <v>921900</v>
      </c>
      <c r="M4615" t="s">
        <v>3472</v>
      </c>
    </row>
    <row r="4616" spans="12:13">
      <c r="L4616" s="66">
        <v>921920</v>
      </c>
      <c r="M4616" t="s">
        <v>3473</v>
      </c>
    </row>
    <row r="4617" spans="12:13">
      <c r="L4617" s="66">
        <v>921921</v>
      </c>
      <c r="M4617" t="s">
        <v>3474</v>
      </c>
    </row>
    <row r="4618" spans="12:13">
      <c r="L4618" s="66">
        <v>921922</v>
      </c>
      <c r="M4618" t="s">
        <v>3475</v>
      </c>
    </row>
    <row r="4619" spans="12:13">
      <c r="L4619" s="66">
        <v>921923</v>
      </c>
      <c r="M4619" t="s">
        <v>3476</v>
      </c>
    </row>
    <row r="4620" spans="12:13">
      <c r="L4620" s="66">
        <v>921930</v>
      </c>
      <c r="M4620" t="s">
        <v>3477</v>
      </c>
    </row>
    <row r="4621" spans="12:13">
      <c r="L4621" s="66">
        <v>921931</v>
      </c>
      <c r="M4621" t="s">
        <v>3478</v>
      </c>
    </row>
    <row r="4622" spans="12:13">
      <c r="L4622" s="66">
        <v>921932</v>
      </c>
      <c r="M4622" t="s">
        <v>3479</v>
      </c>
    </row>
    <row r="4623" spans="12:13">
      <c r="L4623" s="66">
        <v>921940</v>
      </c>
      <c r="M4623" t="s">
        <v>3480</v>
      </c>
    </row>
    <row r="4624" spans="12:13">
      <c r="L4624" s="66">
        <v>921941</v>
      </c>
      <c r="M4624" t="s">
        <v>3480</v>
      </c>
    </row>
    <row r="4625" spans="12:13">
      <c r="L4625" s="66">
        <v>921950</v>
      </c>
      <c r="M4625" t="s">
        <v>3482</v>
      </c>
    </row>
    <row r="4626" spans="12:13">
      <c r="L4626" s="66">
        <v>921951</v>
      </c>
      <c r="M4626" t="s">
        <v>3482</v>
      </c>
    </row>
    <row r="4627" spans="12:13">
      <c r="L4627" s="66">
        <v>921960</v>
      </c>
      <c r="M4627" t="s">
        <v>3483</v>
      </c>
    </row>
    <row r="4628" spans="12:13">
      <c r="L4628" s="66">
        <v>921961</v>
      </c>
      <c r="M4628" t="s">
        <v>3484</v>
      </c>
    </row>
    <row r="4629" spans="12:13">
      <c r="L4629" s="66">
        <v>921962</v>
      </c>
      <c r="M4629" t="s">
        <v>3485</v>
      </c>
    </row>
    <row r="4630" spans="12:13">
      <c r="L4630" s="66">
        <v>921965</v>
      </c>
      <c r="M4630" t="s">
        <v>3486</v>
      </c>
    </row>
    <row r="4631" spans="12:13">
      <c r="L4631" s="66">
        <v>922000</v>
      </c>
      <c r="M4631" t="s">
        <v>3487</v>
      </c>
    </row>
    <row r="4632" spans="12:13">
      <c r="L4632" s="66">
        <v>922100</v>
      </c>
      <c r="M4632" t="s">
        <v>3488</v>
      </c>
    </row>
    <row r="4633" spans="12:13">
      <c r="L4633" s="66">
        <v>922120</v>
      </c>
      <c r="M4633" t="s">
        <v>3489</v>
      </c>
    </row>
    <row r="4634" spans="12:13">
      <c r="L4634" s="66">
        <v>922121</v>
      </c>
      <c r="M4634" t="s">
        <v>3489</v>
      </c>
    </row>
    <row r="4635" spans="12:13">
      <c r="L4635" s="66">
        <v>922130</v>
      </c>
      <c r="M4635" t="s">
        <v>3490</v>
      </c>
    </row>
    <row r="4636" spans="12:13">
      <c r="L4636" s="66">
        <v>922131</v>
      </c>
      <c r="M4636" t="s">
        <v>3491</v>
      </c>
    </row>
    <row r="4637" spans="12:13">
      <c r="L4637" s="66">
        <v>922132</v>
      </c>
      <c r="M4637" t="s">
        <v>3492</v>
      </c>
    </row>
    <row r="4638" spans="12:13">
      <c r="L4638" s="66">
        <v>922140</v>
      </c>
      <c r="M4638" t="s">
        <v>3493</v>
      </c>
    </row>
    <row r="4639" spans="12:13">
      <c r="L4639" s="66">
        <v>922141</v>
      </c>
      <c r="M4639" t="s">
        <v>3493</v>
      </c>
    </row>
    <row r="4640" spans="12:13">
      <c r="L4640" s="66">
        <v>922150</v>
      </c>
      <c r="M4640" t="s">
        <v>3494</v>
      </c>
    </row>
    <row r="4641" spans="12:13">
      <c r="L4641" s="66">
        <v>922151</v>
      </c>
      <c r="M4641" t="s">
        <v>3494</v>
      </c>
    </row>
    <row r="4642" spans="12:13">
      <c r="L4642" s="66">
        <v>922160</v>
      </c>
      <c r="M4642" t="s">
        <v>3495</v>
      </c>
    </row>
    <row r="4643" spans="12:13">
      <c r="L4643" s="66">
        <v>922161</v>
      </c>
      <c r="M4643" t="s">
        <v>3496</v>
      </c>
    </row>
    <row r="4644" spans="12:13">
      <c r="L4644" s="66">
        <v>922162</v>
      </c>
      <c r="M4644" t="s">
        <v>3497</v>
      </c>
    </row>
    <row r="4645" spans="12:13">
      <c r="L4645" s="66">
        <v>922165</v>
      </c>
      <c r="M4645" t="s">
        <v>3498</v>
      </c>
    </row>
    <row r="4646" spans="12:13">
      <c r="L4646" s="66">
        <v>922200</v>
      </c>
      <c r="M4646" t="s">
        <v>3499</v>
      </c>
    </row>
    <row r="4647" spans="12:13">
      <c r="L4647" s="66">
        <v>922220</v>
      </c>
      <c r="M4647" t="s">
        <v>3500</v>
      </c>
    </row>
    <row r="4648" spans="12:13">
      <c r="L4648" s="66">
        <v>922221</v>
      </c>
      <c r="M4648" t="s">
        <v>3500</v>
      </c>
    </row>
    <row r="4649" spans="12:13">
      <c r="L4649" s="66">
        <v>922230</v>
      </c>
      <c r="M4649" t="s">
        <v>3501</v>
      </c>
    </row>
    <row r="4650" spans="12:13">
      <c r="L4650" s="66">
        <v>922231</v>
      </c>
      <c r="M4650" t="s">
        <v>3501</v>
      </c>
    </row>
    <row r="4651" spans="12:13">
      <c r="L4651" s="66">
        <v>922240</v>
      </c>
      <c r="M4651" t="s">
        <v>3502</v>
      </c>
    </row>
    <row r="4652" spans="12:13">
      <c r="L4652" s="66">
        <v>922241</v>
      </c>
      <c r="M4652" t="s">
        <v>3502</v>
      </c>
    </row>
    <row r="4653" spans="12:13">
      <c r="L4653" s="66">
        <v>922250</v>
      </c>
      <c r="M4653" t="s">
        <v>3503</v>
      </c>
    </row>
    <row r="4654" spans="12:13">
      <c r="L4654" s="66">
        <v>922251</v>
      </c>
      <c r="M4654" t="s">
        <v>3503</v>
      </c>
    </row>
    <row r="4655" spans="12:13">
      <c r="L4655" s="66">
        <v>922260</v>
      </c>
      <c r="M4655" t="s">
        <v>3504</v>
      </c>
    </row>
    <row r="4656" spans="12:13">
      <c r="L4656" s="66">
        <v>922261</v>
      </c>
      <c r="M4656" t="s">
        <v>3505</v>
      </c>
    </row>
    <row r="4657" spans="12:13">
      <c r="L4657" s="66">
        <v>922262</v>
      </c>
      <c r="M4657" t="s">
        <v>3506</v>
      </c>
    </row>
    <row r="4658" spans="12:13">
      <c r="L4658" s="66">
        <v>922265</v>
      </c>
      <c r="M4658" t="s">
        <v>3507</v>
      </c>
    </row>
    <row r="4659" spans="12:13">
      <c r="L4659" s="66">
        <v>922300</v>
      </c>
      <c r="M4659" t="s">
        <v>3508</v>
      </c>
    </row>
    <row r="4660" spans="12:13">
      <c r="L4660" s="66">
        <v>922320</v>
      </c>
      <c r="M4660" t="s">
        <v>3509</v>
      </c>
    </row>
    <row r="4661" spans="12:13">
      <c r="L4661" s="66">
        <v>922321</v>
      </c>
      <c r="M4661" t="s">
        <v>3509</v>
      </c>
    </row>
    <row r="4662" spans="12:13">
      <c r="L4662" s="66">
        <v>922330</v>
      </c>
      <c r="M4662" t="s">
        <v>3510</v>
      </c>
    </row>
    <row r="4663" spans="12:13">
      <c r="L4663" s="66">
        <v>922331</v>
      </c>
      <c r="M4663" t="s">
        <v>3510</v>
      </c>
    </row>
    <row r="4664" spans="12:13">
      <c r="L4664" s="66">
        <v>922340</v>
      </c>
      <c r="M4664" t="s">
        <v>3511</v>
      </c>
    </row>
    <row r="4665" spans="12:13">
      <c r="L4665" s="66">
        <v>922341</v>
      </c>
      <c r="M4665" t="s">
        <v>3511</v>
      </c>
    </row>
    <row r="4666" spans="12:13">
      <c r="L4666" s="66">
        <v>922350</v>
      </c>
      <c r="M4666" t="s">
        <v>3512</v>
      </c>
    </row>
    <row r="4667" spans="12:13">
      <c r="L4667" s="66">
        <v>922351</v>
      </c>
      <c r="M4667" t="s">
        <v>3512</v>
      </c>
    </row>
    <row r="4668" spans="12:13">
      <c r="L4668" s="66">
        <v>922360</v>
      </c>
      <c r="M4668" t="s">
        <v>3513</v>
      </c>
    </row>
    <row r="4669" spans="12:13">
      <c r="L4669" s="66">
        <v>922361</v>
      </c>
      <c r="M4669" t="s">
        <v>3514</v>
      </c>
    </row>
    <row r="4670" spans="12:13">
      <c r="L4670" s="66">
        <v>922362</v>
      </c>
      <c r="M4670" t="s">
        <v>3515</v>
      </c>
    </row>
    <row r="4671" spans="12:13">
      <c r="L4671" s="66">
        <v>922365</v>
      </c>
      <c r="M4671" t="s">
        <v>3516</v>
      </c>
    </row>
    <row r="4672" spans="12:13">
      <c r="L4672" s="66">
        <v>922400</v>
      </c>
      <c r="M4672" t="s">
        <v>3517</v>
      </c>
    </row>
    <row r="4673" spans="12:13">
      <c r="L4673" s="66">
        <v>922420</v>
      </c>
      <c r="M4673" t="s">
        <v>3518</v>
      </c>
    </row>
    <row r="4674" spans="12:13">
      <c r="L4674" s="66">
        <v>922421</v>
      </c>
      <c r="M4674" t="s">
        <v>3518</v>
      </c>
    </row>
    <row r="4675" spans="12:13">
      <c r="L4675" s="66">
        <v>922430</v>
      </c>
      <c r="M4675" t="s">
        <v>3519</v>
      </c>
    </row>
    <row r="4676" spans="12:13">
      <c r="L4676" s="66">
        <v>922431</v>
      </c>
      <c r="M4676" t="s">
        <v>3519</v>
      </c>
    </row>
    <row r="4677" spans="12:13">
      <c r="L4677" s="66">
        <v>922440</v>
      </c>
      <c r="M4677" t="s">
        <v>3520</v>
      </c>
    </row>
    <row r="4678" spans="12:13">
      <c r="L4678" s="66">
        <v>922441</v>
      </c>
      <c r="M4678" t="s">
        <v>3520</v>
      </c>
    </row>
    <row r="4679" spans="12:13">
      <c r="L4679" s="66">
        <v>922450</v>
      </c>
      <c r="M4679" t="s">
        <v>3521</v>
      </c>
    </row>
    <row r="4680" spans="12:13">
      <c r="L4680" s="66">
        <v>922451</v>
      </c>
      <c r="M4680" t="s">
        <v>3521</v>
      </c>
    </row>
    <row r="4681" spans="12:13">
      <c r="L4681" s="66">
        <v>922460</v>
      </c>
      <c r="M4681" t="s">
        <v>3522</v>
      </c>
    </row>
    <row r="4682" spans="12:13">
      <c r="L4682" s="66">
        <v>922461</v>
      </c>
      <c r="M4682" t="s">
        <v>3523</v>
      </c>
    </row>
    <row r="4683" spans="12:13">
      <c r="L4683" s="66">
        <v>922462</v>
      </c>
      <c r="M4683" t="s">
        <v>3524</v>
      </c>
    </row>
    <row r="4684" spans="12:13">
      <c r="L4684" s="66">
        <v>922465</v>
      </c>
      <c r="M4684" t="s">
        <v>3525</v>
      </c>
    </row>
    <row r="4685" spans="12:13">
      <c r="L4685" s="66">
        <v>922500</v>
      </c>
      <c r="M4685" t="s">
        <v>3526</v>
      </c>
    </row>
    <row r="4686" spans="12:13">
      <c r="L4686" s="66">
        <v>922520</v>
      </c>
      <c r="M4686" t="s">
        <v>3527</v>
      </c>
    </row>
    <row r="4687" spans="12:13">
      <c r="L4687" s="66">
        <v>922521</v>
      </c>
      <c r="M4687" t="s">
        <v>3527</v>
      </c>
    </row>
    <row r="4688" spans="12:13">
      <c r="L4688" s="66">
        <v>922530</v>
      </c>
      <c r="M4688" t="s">
        <v>3528</v>
      </c>
    </row>
    <row r="4689" spans="12:13">
      <c r="L4689" s="66">
        <v>922531</v>
      </c>
      <c r="M4689" t="s">
        <v>3528</v>
      </c>
    </row>
    <row r="4690" spans="12:13">
      <c r="L4690" s="66">
        <v>922540</v>
      </c>
      <c r="M4690" t="s">
        <v>3529</v>
      </c>
    </row>
    <row r="4691" spans="12:13">
      <c r="L4691" s="66">
        <v>922541</v>
      </c>
      <c r="M4691" t="s">
        <v>3529</v>
      </c>
    </row>
    <row r="4692" spans="12:13">
      <c r="L4692" s="66">
        <v>922550</v>
      </c>
      <c r="M4692" t="s">
        <v>3530</v>
      </c>
    </row>
    <row r="4693" spans="12:13">
      <c r="L4693" s="66">
        <v>922551</v>
      </c>
      <c r="M4693" t="s">
        <v>3530</v>
      </c>
    </row>
    <row r="4694" spans="12:13">
      <c r="L4694" s="66">
        <v>922560</v>
      </c>
      <c r="M4694" t="s">
        <v>3531</v>
      </c>
    </row>
    <row r="4695" spans="12:13">
      <c r="L4695" s="66">
        <v>922561</v>
      </c>
      <c r="M4695" t="s">
        <v>3532</v>
      </c>
    </row>
    <row r="4696" spans="12:13">
      <c r="L4696" s="66">
        <v>922562</v>
      </c>
      <c r="M4696" t="s">
        <v>3533</v>
      </c>
    </row>
    <row r="4697" spans="12:13">
      <c r="L4697" s="66">
        <v>922565</v>
      </c>
      <c r="M4697" t="s">
        <v>3534</v>
      </c>
    </row>
    <row r="4698" spans="12:13">
      <c r="L4698" s="66">
        <v>922600</v>
      </c>
      <c r="M4698" t="s">
        <v>3535</v>
      </c>
    </row>
    <row r="4699" spans="12:13">
      <c r="L4699" s="66">
        <v>922620</v>
      </c>
      <c r="M4699" t="s">
        <v>3536</v>
      </c>
    </row>
    <row r="4700" spans="12:13">
      <c r="L4700" s="66">
        <v>922621</v>
      </c>
      <c r="M4700" t="s">
        <v>3536</v>
      </c>
    </row>
    <row r="4701" spans="12:13">
      <c r="L4701" s="66">
        <v>922630</v>
      </c>
      <c r="M4701" t="s">
        <v>3537</v>
      </c>
    </row>
    <row r="4702" spans="12:13">
      <c r="L4702" s="66">
        <v>922631</v>
      </c>
      <c r="M4702" t="s">
        <v>3537</v>
      </c>
    </row>
    <row r="4703" spans="12:13">
      <c r="L4703" s="66">
        <v>922640</v>
      </c>
      <c r="M4703" t="s">
        <v>3538</v>
      </c>
    </row>
    <row r="4704" spans="12:13">
      <c r="L4704" s="66">
        <v>922641</v>
      </c>
      <c r="M4704" t="s">
        <v>3538</v>
      </c>
    </row>
    <row r="4705" spans="12:13">
      <c r="L4705" s="66">
        <v>922650</v>
      </c>
      <c r="M4705" t="s">
        <v>3539</v>
      </c>
    </row>
    <row r="4706" spans="12:13">
      <c r="L4706" s="66">
        <v>922651</v>
      </c>
      <c r="M4706" t="s">
        <v>3539</v>
      </c>
    </row>
    <row r="4707" spans="12:13">
      <c r="L4707" s="66">
        <v>922660</v>
      </c>
      <c r="M4707" t="s">
        <v>3540</v>
      </c>
    </row>
    <row r="4708" spans="12:13">
      <c r="L4708" s="66">
        <v>922661</v>
      </c>
      <c r="M4708" t="s">
        <v>3541</v>
      </c>
    </row>
    <row r="4709" spans="12:13">
      <c r="L4709" s="66">
        <v>922662</v>
      </c>
      <c r="M4709" t="s">
        <v>3542</v>
      </c>
    </row>
    <row r="4710" spans="12:13">
      <c r="L4710" s="66">
        <v>922665</v>
      </c>
      <c r="M4710" t="s">
        <v>3543</v>
      </c>
    </row>
    <row r="4711" spans="12:13">
      <c r="L4711" s="66">
        <v>922700</v>
      </c>
      <c r="M4711" t="s">
        <v>3544</v>
      </c>
    </row>
    <row r="4712" spans="12:13">
      <c r="L4712" s="66">
        <v>922720</v>
      </c>
      <c r="M4712" t="s">
        <v>3545</v>
      </c>
    </row>
    <row r="4713" spans="12:13">
      <c r="L4713" s="66">
        <v>922721</v>
      </c>
      <c r="M4713" t="s">
        <v>3545</v>
      </c>
    </row>
    <row r="4714" spans="12:13">
      <c r="L4714" s="66">
        <v>922730</v>
      </c>
      <c r="M4714" t="s">
        <v>3546</v>
      </c>
    </row>
    <row r="4715" spans="12:13">
      <c r="L4715" s="66">
        <v>922731</v>
      </c>
      <c r="M4715" t="s">
        <v>3547</v>
      </c>
    </row>
    <row r="4716" spans="12:13">
      <c r="L4716" s="66">
        <v>922732</v>
      </c>
      <c r="M4716" t="s">
        <v>3548</v>
      </c>
    </row>
    <row r="4717" spans="12:13">
      <c r="L4717" s="66">
        <v>922740</v>
      </c>
      <c r="M4717" t="s">
        <v>3549</v>
      </c>
    </row>
    <row r="4718" spans="12:13">
      <c r="L4718" s="66">
        <v>922741</v>
      </c>
      <c r="M4718" t="s">
        <v>3549</v>
      </c>
    </row>
    <row r="4719" spans="12:13">
      <c r="L4719" s="66">
        <v>922750</v>
      </c>
      <c r="M4719" t="s">
        <v>3550</v>
      </c>
    </row>
    <row r="4720" spans="12:13">
      <c r="L4720" s="66">
        <v>922751</v>
      </c>
      <c r="M4720" t="s">
        <v>3550</v>
      </c>
    </row>
    <row r="4721" spans="12:13">
      <c r="L4721" s="66">
        <v>922760</v>
      </c>
      <c r="M4721" t="s">
        <v>3551</v>
      </c>
    </row>
    <row r="4722" spans="12:13">
      <c r="L4722" s="66">
        <v>922761</v>
      </c>
      <c r="M4722" t="s">
        <v>3552</v>
      </c>
    </row>
    <row r="4723" spans="12:13">
      <c r="L4723" s="66">
        <v>922762</v>
      </c>
      <c r="M4723" t="s">
        <v>3553</v>
      </c>
    </row>
    <row r="4724" spans="12:13">
      <c r="L4724" s="66">
        <v>922765</v>
      </c>
      <c r="M4724" t="s">
        <v>3554</v>
      </c>
    </row>
    <row r="4725" spans="12:13">
      <c r="L4725" s="66">
        <v>922800</v>
      </c>
      <c r="M4725" t="s">
        <v>1216</v>
      </c>
    </row>
    <row r="4726" spans="12:13">
      <c r="L4726" s="66">
        <v>922810</v>
      </c>
      <c r="M4726" t="s">
        <v>1216</v>
      </c>
    </row>
    <row r="4727" spans="12:13">
      <c r="L4727" s="66">
        <v>922811</v>
      </c>
      <c r="M4727" t="s">
        <v>1216</v>
      </c>
    </row>
    <row r="4728" spans="12:13">
      <c r="L4728" s="66">
        <v>990000</v>
      </c>
      <c r="M4728" t="s">
        <v>3555</v>
      </c>
    </row>
    <row r="4729" spans="12:13">
      <c r="L4729" s="66">
        <v>999000</v>
      </c>
      <c r="M4729" t="s">
        <v>3555</v>
      </c>
    </row>
    <row r="4730" spans="12:13">
      <c r="L4730" s="66">
        <v>999900</v>
      </c>
      <c r="M4730" t="s">
        <v>3555</v>
      </c>
    </row>
    <row r="4731" spans="12:13">
      <c r="L4731" s="66">
        <v>999990</v>
      </c>
      <c r="M4731" t="s">
        <v>3555</v>
      </c>
    </row>
    <row r="4732" spans="12:13">
      <c r="L4732" s="66">
        <v>999999</v>
      </c>
      <c r="M4732" t="s">
        <v>3555</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Sheet1</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2018-06-21T09:24:35Z</cp:lastPrinted>
  <dcterms:created xsi:type="dcterms:W3CDTF">2014-09-23T08:37:30Z</dcterms:created>
  <dcterms:modified xsi:type="dcterms:W3CDTF">2019-12-23T10:01:14Z</dcterms:modified>
</cp:coreProperties>
</file>